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9615" windowHeight="10320" tabRatio="679" activeTab="0"/>
  </bookViews>
  <sheets>
    <sheet name="Input Sheet" sheetId="1" r:id="rId1"/>
    <sheet name="Executive Summary" sheetId="2" r:id="rId2"/>
    <sheet name="Energy Savings Analysis" sheetId="3" r:id="rId3"/>
    <sheet name="Tax Deduction Analysis" sheetId="4" r:id="rId4"/>
  </sheets>
  <definedNames>
    <definedName name="IESNA_Footcandles">'Input Sheet'!$AP$209:$AQ$279</definedName>
    <definedName name="IESNA_Watt_Limit">'Input Sheet'!$AP$109:$AQ$133</definedName>
    <definedName name="LSI_Models">'Input Sheet'!$AP$5:$AP$52</definedName>
    <definedName name="LSI_Prod_Specs">'Input Sheet'!$AP$5:$AW$52</definedName>
    <definedName name="LSI_Product_Table">'Input Sheet'!$AP$5:$AX$52</definedName>
    <definedName name="_xlnm.Print_Area" localSheetId="2">'Energy Savings Analysis'!$A$1:$G$46</definedName>
    <definedName name="_xlnm.Print_Area" localSheetId="1">'Executive Summary'!$A$1:$I$54</definedName>
    <definedName name="_xlnm.Print_Area" localSheetId="0">'Input Sheet'!$A$1:$E$53</definedName>
    <definedName name="_xlnm.Print_Area" localSheetId="3">'Tax Deduction Analysis'!$A$1:$J$54</definedName>
  </definedNames>
  <calcPr fullCalcOnLoad="1"/>
</workbook>
</file>

<file path=xl/sharedStrings.xml><?xml version="1.0" encoding="utf-8"?>
<sst xmlns="http://schemas.openxmlformats.org/spreadsheetml/2006/main" count="390" uniqueCount="269">
  <si>
    <t>F23-2-32-SSO</t>
  </si>
  <si>
    <t>F23-2-32-SSOHL</t>
  </si>
  <si>
    <t>G-A-3-32-SSO</t>
  </si>
  <si>
    <t>G-A-3-32-SSOHL</t>
  </si>
  <si>
    <t>IMX-4-32-SSO</t>
  </si>
  <si>
    <t>IMX-4-32-SSOHL</t>
  </si>
  <si>
    <t>IMX-4-54-2-SS5HO</t>
  </si>
  <si>
    <t>IMX-4-54-SS5HO</t>
  </si>
  <si>
    <t>IMX-4-54-SS5HO-PAX-A</t>
  </si>
  <si>
    <t>IMX-4-54-SS5HO-PAX-C</t>
  </si>
  <si>
    <t>IMX-6-32-SSOHL</t>
  </si>
  <si>
    <t>IMX-6-32-SSOHL-PAX-A</t>
  </si>
  <si>
    <t>IMX-6-32-SSOHL-PAX-C</t>
  </si>
  <si>
    <t>IMX-6-32-SSO-PAX-A</t>
  </si>
  <si>
    <t>IMX-6-32-SSO-PAX-C</t>
  </si>
  <si>
    <t>IMX-6-54-2-SS5HO</t>
  </si>
  <si>
    <t>IMX-6-54-SS5HO</t>
  </si>
  <si>
    <t>PGN-18-3-32-SSO</t>
  </si>
  <si>
    <t>PGN-18-3-32-SSOHL</t>
  </si>
  <si>
    <t>S-2-32-SSO</t>
  </si>
  <si>
    <t>S-2-32-SSOHL</t>
  </si>
  <si>
    <t>© 2007 LSI Industries Inc.</t>
  </si>
  <si>
    <t>10000 Alliance Road ♦ Cincinnati, OH  45242 ♦ www.lsi-industries.com</t>
  </si>
  <si>
    <t xml:space="preserve">     Input page</t>
  </si>
  <si>
    <t xml:space="preserve">      Energy</t>
  </si>
  <si>
    <t xml:space="preserve">      Calculator</t>
  </si>
  <si>
    <t xml:space="preserve">              Energy Savings Analysis &amp; ROI</t>
  </si>
  <si>
    <t>&lt;Click here to select LSI fixture&gt;</t>
  </si>
  <si>
    <t>&lt;Click here to select building category&gt;</t>
  </si>
  <si>
    <t>Note:  tax deductions may also be dependent upon other conditions including bi-level switching and automatic turn-</t>
  </si>
  <si>
    <t>off of lights for new buildings over 5000 sq. ft.  This estimator is for illustrative purposes only.</t>
  </si>
  <si>
    <t>CONTACT A QUALIFIED TAX PROFESSIONAL FOR FULL DETAILS OF ELIGIBILITY REQUIREMENTS AND FOR</t>
  </si>
  <si>
    <t>INDEPENDENT PROFESSIONAL VERIFICATION OF THE RESULTS AND CALCULATIONS.</t>
  </si>
  <si>
    <r>
      <t>Carbon Dioxide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</si>
  <si>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Sulfer Dioxide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</si>
  <si>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Nitrous Oxide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sz val="10"/>
        <rFont val="Arial"/>
        <family val="0"/>
      </rPr>
      <t>)</t>
    </r>
  </si>
  <si>
    <t>Alt. #1</t>
  </si>
  <si>
    <t>Alt. #2</t>
  </si>
  <si>
    <t>Annual Pollutant Reductions</t>
  </si>
  <si>
    <t>Potential estimated tax deduction by implementing alternative #2:</t>
  </si>
  <si>
    <t>(lbs.)</t>
  </si>
  <si>
    <t xml:space="preserve">Address Line 1:  </t>
  </si>
  <si>
    <t xml:space="preserve">Address Line 2:  </t>
  </si>
  <si>
    <t xml:space="preserve">Address Line 3:  </t>
  </si>
  <si>
    <t>Lighting Survey Analysis</t>
  </si>
  <si>
    <t>Executive Summary</t>
  </si>
  <si>
    <t>toll free: (800) 765-3454</t>
  </si>
  <si>
    <t>LSI Industries Inc. does not, in any way, imply a warranty of performance or savings predicted by this report.</t>
  </si>
  <si>
    <t>This estimator is for illustrative purposes only.</t>
  </si>
  <si>
    <t>Deduction Analysis</t>
  </si>
  <si>
    <t>Year</t>
  </si>
  <si>
    <t>Raw data in charts at left (this section does not print)</t>
  </si>
  <si>
    <t>Energy Policy Act 2005</t>
  </si>
  <si>
    <t>Alternative #1 Analysis:</t>
  </si>
  <si>
    <t>Alternative #2 Analysis:</t>
  </si>
  <si>
    <t>source:  http://www.epa.gov/cleanenergy/emissions.htm</t>
  </si>
  <si>
    <t xml:space="preserve">Cost per Lamp:  </t>
  </si>
  <si>
    <t xml:space="preserve">Cost per Fixture:  </t>
  </si>
  <si>
    <t xml:space="preserve">Labor per fixture:  </t>
  </si>
  <si>
    <t xml:space="preserve">Other cost:  </t>
  </si>
  <si>
    <t xml:space="preserve">Utility rebate per fixture:  </t>
  </si>
  <si>
    <t>Fixture Costs:</t>
  </si>
  <si>
    <t>Lamp Costs:</t>
  </si>
  <si>
    <t>Labor Costs:</t>
  </si>
  <si>
    <t>Other Costs:</t>
  </si>
  <si>
    <t>Utility Rebates:</t>
  </si>
  <si>
    <t>-</t>
  </si>
  <si>
    <t>Net Cost:</t>
  </si>
  <si>
    <t>Payback time:</t>
  </si>
  <si>
    <t>years</t>
  </si>
  <si>
    <t>5-year ROI:</t>
  </si>
  <si>
    <t>ROI Analysis</t>
  </si>
  <si>
    <t>CFL Downlight</t>
  </si>
  <si>
    <t>F20-2-32-SSO</t>
  </si>
  <si>
    <t>F20-2-32-SSOHL</t>
  </si>
  <si>
    <t>F22-2-32-SSO</t>
  </si>
  <si>
    <t>F22-2-32-SSOHL</t>
  </si>
  <si>
    <t>SCHOOL: Gymnasiums (basketball)</t>
  </si>
  <si>
    <t>SCHOOL: Gymnasiums (social)</t>
  </si>
  <si>
    <t>SCHOOL: Corridors</t>
  </si>
  <si>
    <t>SCHOOL: Lecture Demonstraion</t>
  </si>
  <si>
    <t>INDUSTRIAL: Basic Tasks (coarse)</t>
  </si>
  <si>
    <t>INDUSTRIAL: Basic Tasks (medium)</t>
  </si>
  <si>
    <t>INDUSTRIAL: Basic Tasks (fine)</t>
  </si>
  <si>
    <t>INDUSTRIAL: Basic Tasks (very fine)</t>
  </si>
  <si>
    <t>INDUSTRIAL: Machining (rough)</t>
  </si>
  <si>
    <t>INDUSTRIAL: Machining (fine)</t>
  </si>
  <si>
    <t>INDUSTRIAL: Warehousing (inactive)</t>
  </si>
  <si>
    <t>INDUSTRIAL: Warehousing (large labels)</t>
  </si>
  <si>
    <t>INDUSTRIAL: Warehousing (small labels)</t>
  </si>
  <si>
    <t>INDUSTRIAL: Stairways, corridors</t>
  </si>
  <si>
    <t>INDUSTRIAL: Toilets and Wash rooms</t>
  </si>
  <si>
    <t>INDUSTRIAL: Shipping/Receiving</t>
  </si>
  <si>
    <t>INDUSTRIAL: Reception/Lobby</t>
  </si>
  <si>
    <t>PARKING: Outdoor Parking</t>
  </si>
  <si>
    <t>PARKING: Indoor Parking</t>
  </si>
  <si>
    <t>OUTDOOR: Building façade (flood)</t>
  </si>
  <si>
    <t>OUTDOOR: Roadway</t>
  </si>
  <si>
    <t>CASINO/GAMING: Circulation (high activity)</t>
  </si>
  <si>
    <t>CASINO/GAMING: Circulation (medium activity)</t>
  </si>
  <si>
    <t>CASINO/GAMING: Circulation (low activity)</t>
  </si>
  <si>
    <t>CASINO/GAMING: Baccarat, Bingo, Craps, Roulette</t>
  </si>
  <si>
    <t>CASINO/GAMING: Poker, Blackjack</t>
  </si>
  <si>
    <t>CASINO/GAMING: Video and Slots</t>
  </si>
  <si>
    <t>RESIDENTIAL: General Lighting</t>
  </si>
  <si>
    <t>RESIDENTIAL: Grooming</t>
  </si>
  <si>
    <t>RESIDENTIAL: Dining</t>
  </si>
  <si>
    <t>RESIDENTIAL: Kitchen Counter</t>
  </si>
  <si>
    <t>RESIDENTIAL: Serious reading</t>
  </si>
  <si>
    <t>RESIDENTIAL: Casual Reading</t>
  </si>
  <si>
    <t>HOTELS: Guest Rooms (general)</t>
  </si>
  <si>
    <t>HOTELS: Bathrooms</t>
  </si>
  <si>
    <t>HOTELS: Reading, Desk surface</t>
  </si>
  <si>
    <t>HOTELS: Corridors, stairs</t>
  </si>
  <si>
    <t>HOTELS: Front Desk</t>
  </si>
  <si>
    <t>HOTELS: Lobby</t>
  </si>
  <si>
    <t>RESTAURANTS: Intimate Dining</t>
  </si>
  <si>
    <t>RESTAURANTS: Food Court/Casual Dining</t>
  </si>
  <si>
    <t>RESTAURANTS: Kitchen</t>
  </si>
  <si>
    <t>SPORTS: Baseball (Pro) infield</t>
  </si>
  <si>
    <t>SPORTS: Baseball (Pro) outfield</t>
  </si>
  <si>
    <t>SPORTS: Baseball (recreational) infield</t>
  </si>
  <si>
    <t>SPORTS: Baseball (recreational) outfield</t>
  </si>
  <si>
    <t>SPORTS: Tennis (Pro)</t>
  </si>
  <si>
    <t>SPORTS: Tennis (recreational)</t>
  </si>
  <si>
    <t>SPORTS: Basketball (Pro)</t>
  </si>
  <si>
    <t>SPORTS: Basketball (recreational)</t>
  </si>
  <si>
    <t xml:space="preserve">The fixture proposed in alternative #1 produces:  </t>
  </si>
  <si>
    <t>To qualify for the deduction,</t>
  </si>
  <si>
    <t xml:space="preserve"> the estimated light level maintained must be at least:</t>
  </si>
  <si>
    <t xml:space="preserve">Alternative #2:  </t>
  </si>
  <si>
    <t>Office</t>
  </si>
  <si>
    <t>This analysis compares the existing lighting system in place and a system based on the following products</t>
  </si>
  <si>
    <t>manufactured by LSI Industries Inc.</t>
  </si>
  <si>
    <t xml:space="preserve">Fixture Model:  </t>
  </si>
  <si>
    <t xml:space="preserve">Fixture Watts:  </t>
  </si>
  <si>
    <t xml:space="preserve">Electricity cost per fixture:  </t>
  </si>
  <si>
    <t xml:space="preserve">Annual KWh usage:  </t>
  </si>
  <si>
    <t>Proposed Fixture #1</t>
  </si>
  <si>
    <t>Proposed Fixture #2</t>
  </si>
  <si>
    <t xml:space="preserve">Brand/Model:  </t>
  </si>
  <si>
    <t>Fixture Watts</t>
  </si>
  <si>
    <t xml:space="preserve">Cost of Energy per KWh:  </t>
  </si>
  <si>
    <t xml:space="preserve">Annual Energy Cost:  </t>
  </si>
  <si>
    <t>Annual Savings with</t>
  </si>
  <si>
    <t xml:space="preserve">Fixture #1:  </t>
  </si>
  <si>
    <t xml:space="preserve">Fixture #2:  </t>
  </si>
  <si>
    <t>System</t>
  </si>
  <si>
    <t>Ann. KWh</t>
  </si>
  <si>
    <t>Tax Deduction Incentive Info</t>
  </si>
  <si>
    <t>IESNA Building Categories</t>
  </si>
  <si>
    <t>Convention Center</t>
  </si>
  <si>
    <t>Dining-Leisure</t>
  </si>
  <si>
    <t>Dining-Fast-Food</t>
  </si>
  <si>
    <t>Dining-Family</t>
  </si>
  <si>
    <t>Gymnasium</t>
  </si>
  <si>
    <t>Healthcare</t>
  </si>
  <si>
    <t>Hotel</t>
  </si>
  <si>
    <t>Library</t>
  </si>
  <si>
    <t>Manufacturing</t>
  </si>
  <si>
    <t>Motel</t>
  </si>
  <si>
    <t>Movie Theatre</t>
  </si>
  <si>
    <t>Museum</t>
  </si>
  <si>
    <t>Parking Garage</t>
  </si>
  <si>
    <t>Penitentiary</t>
  </si>
  <si>
    <t>Post Office</t>
  </si>
  <si>
    <t>Religious</t>
  </si>
  <si>
    <t xml:space="preserve">Retail </t>
  </si>
  <si>
    <t>School/University</t>
  </si>
  <si>
    <t>Sports Arena</t>
  </si>
  <si>
    <t>Town Hall</t>
  </si>
  <si>
    <t>Transportation</t>
  </si>
  <si>
    <t>Warehouse</t>
  </si>
  <si>
    <t>Workshop</t>
  </si>
  <si>
    <t>Watts per square foot limit (2001)</t>
  </si>
  <si>
    <t>watts/sq. ft.</t>
  </si>
  <si>
    <t>watts</t>
  </si>
  <si>
    <t>The fixture proposed in alternative #1 uses:</t>
  </si>
  <si>
    <t>Potential estimated tax deduction by implementing alternative #1:</t>
  </si>
  <si>
    <t>footcandles</t>
  </si>
  <si>
    <t xml:space="preserve">Detailed applictaion:  </t>
  </si>
  <si>
    <t>300+</t>
  </si>
  <si>
    <t>1000+</t>
  </si>
  <si>
    <t>OFFICE: General, Open offices</t>
  </si>
  <si>
    <t>OFFICE: Intensive Computer use</t>
  </si>
  <si>
    <t>OFFICE: Lobby, Reception</t>
  </si>
  <si>
    <t>OFFICE: Conference Rooms</t>
  </si>
  <si>
    <t>OFFICE: Video Confenecing</t>
  </si>
  <si>
    <t>MALL/RETAIL: Main Concourse</t>
  </si>
  <si>
    <t>MALL/RETAIL: Restrooms</t>
  </si>
  <si>
    <t>MALL/RETAIL: General Retail</t>
  </si>
  <si>
    <t>MALL/RETAIL: Supermarkets</t>
  </si>
  <si>
    <t>MALL/RETAIL: Feature Display</t>
  </si>
  <si>
    <t>MALL/RETAIL: Show Window</t>
  </si>
  <si>
    <t>HOSPITAL: Corridors</t>
  </si>
  <si>
    <t>HOSPITAL: General (most areas)</t>
  </si>
  <si>
    <t>HOSPITAL: Operating Table</t>
  </si>
  <si>
    <t>HOSPITAL: Inspection of supplies</t>
  </si>
  <si>
    <t>HOSPITAL: Waiting Areas (general)</t>
  </si>
  <si>
    <t>HOSPITAL: Waiting Areas (reading)</t>
  </si>
  <si>
    <t>HOSPITAL: Nursing Station (desk)</t>
  </si>
  <si>
    <t>HOSPITAL: Lobby</t>
  </si>
  <si>
    <t>HOSPITAL: Medical Records</t>
  </si>
  <si>
    <t>SCHOOL: Classrooms</t>
  </si>
  <si>
    <t>Existing System</t>
  </si>
  <si>
    <t>Acrylic Lensed Troffer</t>
  </si>
  <si>
    <t>Deep Cell Parobolic Louver</t>
  </si>
  <si>
    <t>Basic Fluorescent Strip</t>
  </si>
  <si>
    <t>Fluorescent Industrial</t>
  </si>
  <si>
    <t>T5 &amp; T8 Industrial w/Lens</t>
  </si>
  <si>
    <t>T5 &amp; T8 Industrial Open</t>
  </si>
  <si>
    <t>Existing</t>
  </si>
  <si>
    <r>
      <t>Industrial Application</t>
    </r>
    <r>
      <rPr>
        <sz val="10"/>
        <rFont val="Arial"/>
        <family val="0"/>
      </rPr>
      <t xml:space="preserve"> RCR=1.0  Rc=50%  Rw=50%  Rf=20%</t>
    </r>
  </si>
  <si>
    <r>
      <t>Office Application</t>
    </r>
    <r>
      <rPr>
        <sz val="10"/>
        <rFont val="Arial"/>
        <family val="0"/>
      </rPr>
      <t xml:space="preserve">  RCR=1.0  Rc=80%  Rw=50%  Rf=20%</t>
    </r>
  </si>
  <si>
    <t>Number of lamps per fixture</t>
  </si>
  <si>
    <t>Rated Mean Lumens</t>
  </si>
  <si>
    <t>Ballast Factor</t>
  </si>
  <si>
    <t xml:space="preserve">This Energy Analysis prepared for:  </t>
  </si>
  <si>
    <t xml:space="preserve">Date:  </t>
  </si>
  <si>
    <t xml:space="preserve">Special Notation/Project Name:  </t>
  </si>
  <si>
    <t xml:space="preserve">Cost of electricity per KWh:  </t>
  </si>
  <si>
    <t xml:space="preserve">Number of fixtures:  </t>
  </si>
  <si>
    <t xml:space="preserve">Annual hours of operation:  </t>
  </si>
  <si>
    <t xml:space="preserve">Fixture Wattage:  </t>
  </si>
  <si>
    <t>Alternative #1</t>
  </si>
  <si>
    <t xml:space="preserve">LSI Model:  </t>
  </si>
  <si>
    <t>Alternative #2</t>
  </si>
  <si>
    <t>Application Information</t>
  </si>
  <si>
    <t xml:space="preserve">Building Category:  </t>
  </si>
  <si>
    <t xml:space="preserve">Square footage of facility:  </t>
  </si>
  <si>
    <t>Prepared for:</t>
  </si>
  <si>
    <t xml:space="preserve">Alternative #1:  </t>
  </si>
  <si>
    <t>206V-CFL-1-13T</t>
  </si>
  <si>
    <t>206V-CFL-1-18T</t>
  </si>
  <si>
    <t>206V-CFL-1-26T</t>
  </si>
  <si>
    <t>206V-CFL-1-42T</t>
  </si>
  <si>
    <t>206V-CFL-1-32T</t>
  </si>
  <si>
    <t>IMX-6-32-SSO</t>
  </si>
  <si>
    <t>IMX-6-32-SSO-WHT</t>
  </si>
  <si>
    <t>IMX-6-32-SSOHL-WHT</t>
  </si>
  <si>
    <t>IMX-6-54-SS5HO-PAX-A</t>
  </si>
  <si>
    <t>IMX-6-54-SS5HO-PAX-C</t>
  </si>
  <si>
    <t>IMX-4-54-SS5HO-WHT</t>
  </si>
  <si>
    <t>IMX-6-54-SS5HO-WHT</t>
  </si>
  <si>
    <t>IMX-8-54-SS5HO</t>
  </si>
  <si>
    <t>IMXNB-4-54-SS5HO</t>
  </si>
  <si>
    <t>IMXNB-4-54-2-SS5HO</t>
  </si>
  <si>
    <t>IMXNBW-6-54-SS5HO</t>
  </si>
  <si>
    <t>IMXNB-4-54-SS5HO-PAX-C</t>
  </si>
  <si>
    <t>XRT22-LED-48-300-CW 120-240V</t>
  </si>
  <si>
    <t>LED Recessed Troffer</t>
  </si>
  <si>
    <t>XRT22-LED-48-400-CW 120-240V</t>
  </si>
  <si>
    <t>XRT14-LED-48-300-CW 120-240V</t>
  </si>
  <si>
    <t>XRT14-LED-48-400-CW 120-240V</t>
  </si>
  <si>
    <t>http://www.lsi-industries.com/products/6-inch-compact-fluorescent.aspx</t>
  </si>
  <si>
    <t>http://www.lsi-industries.com/products/premium-industrial-F20.aspx</t>
  </si>
  <si>
    <t>http://www.lsi-industries.com/products/economy-industrial-F22.aspx</t>
  </si>
  <si>
    <t>http://www.lsi-industries.com/products/turret-socket-industrial-F23.aspx</t>
  </si>
  <si>
    <t>http://www.lsi-industries.com/products/high-efficiency-T8-static-GA.aspx</t>
  </si>
  <si>
    <t>http://www.lsi-industries.com/products/fluorescent-high-bay-IMX.aspx</t>
  </si>
  <si>
    <t>http://www.lsi-industries.com/products/4-and-6-lamp-narrow-aisle-IMXNB-IMXNBW.aspx</t>
  </si>
  <si>
    <t>T5 Industrial Open</t>
  </si>
  <si>
    <t>http://www.lsi-industries.com/products/high-efficiency-T8-PGN-PSN.aspx</t>
  </si>
  <si>
    <t>http://www.lsi-industries.com/products/channel-series.aspx</t>
  </si>
  <si>
    <t>http://www.lsi-industries.com/products/xrt22productpage.aspx</t>
  </si>
  <si>
    <t>HDF-D/I-16-54-SS5HO</t>
  </si>
  <si>
    <t>Hi Def - Linear Fluorescent Direct/Indirect</t>
  </si>
  <si>
    <t>http://www.lsi-industries.com/products/hi-def-linear-fluorescent-direct-indirect.aspx</t>
  </si>
  <si>
    <t>HDF-D/I-12-54-SS5HO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</si>
</sst>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0"/>
    <numFmt numFmtId="166" formatCode="&quot;$&quot;#,##0.00"/>
    <numFmt numFmtId="167" formatCode="0.0"/>
    <numFmt numFmtId="168" formatCode="_(* #,##0.0_);_(* \(#,##0.0\);_(* &quot;-&quot;?_);_(@_)"/>
    <numFmt numFmtId="169" formatCode="_(* #,##0_);_(* \(#,##0\);_(* &quot;-&quot;?_);_(@_)"/>
    <numFmt numFmtId="170" formatCode="_(* #,##0_);_(* \(#,##0\);_(* &quot;-&quot;??_);_(@_)"/>
    <numFmt numFmtId="171" formatCode="&quot;$&quot;#,##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$#,##0"/>
  </numFmts>
  <fonts count="72">
    <font>
      <sz val="10"/>
      <name val="Arial"/>
      <family val="0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i/>
      <sz val="18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0"/>
    </font>
    <font>
      <b/>
      <i/>
      <sz val="30"/>
      <color indexed="12"/>
      <name val="Franklin Gothic Heavy"/>
      <family val="2"/>
    </font>
    <font>
      <b/>
      <sz val="12"/>
      <color indexed="17"/>
      <name val="Arial"/>
      <family val="2"/>
    </font>
    <font>
      <b/>
      <i/>
      <sz val="20"/>
      <color indexed="12"/>
      <name val="Franklin Gothic Heavy"/>
      <family val="2"/>
    </font>
    <font>
      <b/>
      <i/>
      <sz val="14"/>
      <name val="Arial"/>
      <family val="2"/>
    </font>
    <font>
      <b/>
      <sz val="11"/>
      <color indexed="17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4.25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25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17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171" fontId="14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1" fontId="1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 vertical="top"/>
    </xf>
    <xf numFmtId="171" fontId="14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171" fontId="14" fillId="0" borderId="0" xfId="0" applyNumberFormat="1" applyFont="1" applyAlignment="1">
      <alignment horizontal="centerContinuous"/>
    </xf>
    <xf numFmtId="172" fontId="14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29" xfId="0" applyNumberForma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24" fillId="33" borderId="33" xfId="0" applyFont="1" applyFill="1" applyBorder="1" applyAlignment="1" applyProtection="1">
      <alignment/>
      <protection locked="0"/>
    </xf>
    <xf numFmtId="49" fontId="24" fillId="33" borderId="33" xfId="0" applyNumberFormat="1" applyFont="1" applyFill="1" applyBorder="1" applyAlignment="1" applyProtection="1">
      <alignment/>
      <protection locked="0"/>
    </xf>
    <xf numFmtId="0" fontId="24" fillId="33" borderId="34" xfId="0" applyFont="1" applyFill="1" applyBorder="1" applyAlignment="1" applyProtection="1">
      <alignment/>
      <protection locked="0"/>
    </xf>
    <xf numFmtId="0" fontId="24" fillId="33" borderId="34" xfId="0" applyFont="1" applyFill="1" applyBorder="1" applyAlignment="1" applyProtection="1">
      <alignment horizontal="left"/>
      <protection locked="0"/>
    </xf>
    <xf numFmtId="165" fontId="24" fillId="33" borderId="34" xfId="0" applyNumberFormat="1" applyFont="1" applyFill="1" applyBorder="1" applyAlignment="1" applyProtection="1">
      <alignment horizontal="left"/>
      <protection locked="0"/>
    </xf>
    <xf numFmtId="3" fontId="24" fillId="33" borderId="34" xfId="0" applyNumberFormat="1" applyFont="1" applyFill="1" applyBorder="1" applyAlignment="1" applyProtection="1">
      <alignment horizontal="left"/>
      <protection locked="0"/>
    </xf>
    <xf numFmtId="0" fontId="25" fillId="0" borderId="0" xfId="53" applyAlignment="1" applyProtection="1">
      <alignment/>
      <protection locked="0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0" fontId="0" fillId="0" borderId="0" xfId="0" applyAlignment="1" quotePrefix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 wrapText="1"/>
    </xf>
    <xf numFmtId="165" fontId="0" fillId="0" borderId="0" xfId="0" applyNumberFormat="1" applyAlignment="1">
      <alignment horizontal="centerContinuous"/>
    </xf>
    <xf numFmtId="171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Continuous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6" fontId="0" fillId="0" borderId="0" xfId="0" applyNumberFormat="1" applyAlignment="1">
      <alignment horizontal="right"/>
    </xf>
    <xf numFmtId="6" fontId="5" fillId="0" borderId="0" xfId="0" applyNumberFormat="1" applyFont="1" applyAlignment="1">
      <alignment/>
    </xf>
    <xf numFmtId="8" fontId="24" fillId="33" borderId="34" xfId="0" applyNumberFormat="1" applyFont="1" applyFill="1" applyBorder="1" applyAlignment="1" applyProtection="1">
      <alignment horizontal="left"/>
      <protection locked="0"/>
    </xf>
    <xf numFmtId="167" fontId="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 quotePrefix="1">
      <alignment horizontal="center"/>
    </xf>
    <xf numFmtId="0" fontId="3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6075"/>
          <c:w val="0.9657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Summary'!$K$30:$K$32</c:f>
              <c:strCache/>
            </c:strRef>
          </c:cat>
          <c:val>
            <c:numRef>
              <c:f>'Executive Summary'!$L$30:$L$32</c:f>
              <c:numCache/>
            </c:numRef>
          </c:val>
        </c:ser>
        <c:axId val="60320465"/>
        <c:axId val="6013274"/>
      </c:bar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0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'Executive Summary'!$K$35</c:f>
              <c:strCache>
                <c:ptCount val="1"/>
                <c:pt idx="0">
                  <c:v>Alternative #1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'Executive Summary'!$L$35:$P$35</c:f>
              <c:numCache/>
            </c:numRef>
          </c:val>
        </c:ser>
        <c:ser>
          <c:idx val="1"/>
          <c:order val="1"/>
          <c:tx>
            <c:strRef>
              <c:f>'Executive Summary'!$K$36</c:f>
              <c:strCache>
                <c:ptCount val="1"/>
                <c:pt idx="0">
                  <c:v>Alternative #2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'Executive Summary'!$L$36:$P$36</c:f>
              <c:numCache/>
            </c:numRef>
          </c:val>
        </c:ser>
        <c:axId val="54119467"/>
        <c:axId val="17313156"/>
      </c:barChart>
      <c:catAx>
        <c:axId val="541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7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2025"/>
          <c:w val="0.293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2</xdr:row>
      <xdr:rowOff>314325</xdr:rowOff>
    </xdr:to>
    <xdr:pic>
      <xdr:nvPicPr>
        <xdr:cNvPr id="1" name="Picture 39" descr="LSI_ta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276225</xdr:colOff>
      <xdr:row>49</xdr:row>
      <xdr:rowOff>38100</xdr:rowOff>
    </xdr:to>
    <xdr:sp>
      <xdr:nvSpPr>
        <xdr:cNvPr id="1" name="Rectangle 11"/>
        <xdr:cNvSpPr>
          <a:spLocks/>
        </xdr:cNvSpPr>
      </xdr:nvSpPr>
      <xdr:spPr>
        <a:xfrm>
          <a:off x="9525" y="6981825"/>
          <a:ext cx="3124200" cy="1847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27</xdr:row>
      <xdr:rowOff>66675</xdr:rowOff>
    </xdr:from>
    <xdr:to>
      <xdr:col>4</xdr:col>
      <xdr:colOff>276225</xdr:colOff>
      <xdr:row>37</xdr:row>
      <xdr:rowOff>133350</xdr:rowOff>
    </xdr:to>
    <xdr:graphicFrame>
      <xdr:nvGraphicFramePr>
        <xdr:cNvPr id="2" name="Chart 9"/>
        <xdr:cNvGraphicFramePr/>
      </xdr:nvGraphicFramePr>
      <xdr:xfrm>
        <a:off x="9525" y="5095875"/>
        <a:ext cx="31242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27</xdr:row>
      <xdr:rowOff>66675</xdr:rowOff>
    </xdr:from>
    <xdr:to>
      <xdr:col>9</xdr:col>
      <xdr:colOff>0</xdr:colOff>
      <xdr:row>37</xdr:row>
      <xdr:rowOff>133350</xdr:rowOff>
    </xdr:to>
    <xdr:graphicFrame>
      <xdr:nvGraphicFramePr>
        <xdr:cNvPr id="3" name="Chart 10"/>
        <xdr:cNvGraphicFramePr/>
      </xdr:nvGraphicFramePr>
      <xdr:xfrm>
        <a:off x="3171825" y="5095875"/>
        <a:ext cx="29718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39</xdr:row>
      <xdr:rowOff>9525</xdr:rowOff>
    </xdr:from>
    <xdr:to>
      <xdr:col>8</xdr:col>
      <xdr:colOff>1190625</xdr:colOff>
      <xdr:row>49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3181350" y="6981825"/>
          <a:ext cx="2952750" cy="1847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27</xdr:row>
      <xdr:rowOff>123825</xdr:rowOff>
    </xdr:from>
    <xdr:to>
      <xdr:col>3</xdr:col>
      <xdr:colOff>219075</xdr:colOff>
      <xdr:row>29</xdr:row>
      <xdr:rowOff>38100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123950" y="5153025"/>
          <a:ext cx="1238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Energy Savings</a:t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8</xdr:col>
      <xdr:colOff>1143000</xdr:colOff>
      <xdr:row>29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3219450" y="5124450"/>
          <a:ext cx="2867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Cumulative Dollar Savings from Energy</a:t>
          </a:r>
        </a:p>
      </xdr:txBody>
    </xdr:sp>
    <xdr:clientData/>
  </xdr:twoCellAnchor>
  <xdr:twoCellAnchor>
    <xdr:from>
      <xdr:col>5</xdr:col>
      <xdr:colOff>314325</xdr:colOff>
      <xdr:row>39</xdr:row>
      <xdr:rowOff>19050</xdr:rowOff>
    </xdr:from>
    <xdr:to>
      <xdr:col>8</xdr:col>
      <xdr:colOff>762000</xdr:colOff>
      <xdr:row>41</xdr:row>
      <xdr:rowOff>161925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486150" y="6991350"/>
          <a:ext cx="22193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Estimated Tax Deductions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Energy Polcy Act 2005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161925</xdr:rowOff>
    </xdr:to>
    <xdr:pic>
      <xdr:nvPicPr>
        <xdr:cNvPr id="8" name="Picture 23" descr="LSI_tag_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019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19</xdr:row>
      <xdr:rowOff>47625</xdr:rowOff>
    </xdr:from>
    <xdr:to>
      <xdr:col>3</xdr:col>
      <xdr:colOff>857250</xdr:colOff>
      <xdr:row>21</xdr:row>
      <xdr:rowOff>0</xdr:rowOff>
    </xdr:to>
    <xdr:sp>
      <xdr:nvSpPr>
        <xdr:cNvPr id="1" name="Freeform 2"/>
        <xdr:cNvSpPr>
          <a:spLocks/>
        </xdr:cNvSpPr>
      </xdr:nvSpPr>
      <xdr:spPr>
        <a:xfrm>
          <a:off x="2562225" y="5286375"/>
          <a:ext cx="1666875" cy="409575"/>
        </a:xfrm>
        <a:custGeom>
          <a:pathLst>
            <a:path h="36" w="176">
              <a:moveTo>
                <a:pt x="0" y="0"/>
              </a:moveTo>
              <a:lnTo>
                <a:pt x="0" y="36"/>
              </a:lnTo>
              <a:lnTo>
                <a:pt x="176" y="36"/>
              </a:lnTo>
              <a:lnTo>
                <a:pt x="176" y="0"/>
              </a:lnTo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19</xdr:row>
      <xdr:rowOff>180975</xdr:rowOff>
    </xdr:from>
    <xdr:to>
      <xdr:col>5</xdr:col>
      <xdr:colOff>828675</xdr:colOff>
      <xdr:row>24</xdr:row>
      <xdr:rowOff>0</xdr:rowOff>
    </xdr:to>
    <xdr:sp>
      <xdr:nvSpPr>
        <xdr:cNvPr id="2" name="Freeform 4"/>
        <xdr:cNvSpPr>
          <a:spLocks/>
        </xdr:cNvSpPr>
      </xdr:nvSpPr>
      <xdr:spPr>
        <a:xfrm>
          <a:off x="2562225" y="5419725"/>
          <a:ext cx="3333750" cy="895350"/>
        </a:xfrm>
        <a:custGeom>
          <a:pathLst>
            <a:path h="142" w="347">
              <a:moveTo>
                <a:pt x="0" y="49"/>
              </a:moveTo>
              <a:lnTo>
                <a:pt x="0" y="142"/>
              </a:lnTo>
              <a:lnTo>
                <a:pt x="347" y="142"/>
              </a:lnTo>
              <a:lnTo>
                <a:pt x="347" y="0"/>
              </a:lnTo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8"/>
        <xdr:cNvSpPr>
          <a:spLocks/>
        </xdr:cNvSpPr>
      </xdr:nvSpPr>
      <xdr:spPr>
        <a:xfrm>
          <a:off x="4000500" y="8124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" name="Line 9"/>
        <xdr:cNvSpPr>
          <a:spLocks/>
        </xdr:cNvSpPr>
      </xdr:nvSpPr>
      <xdr:spPr>
        <a:xfrm>
          <a:off x="5743575" y="8124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485775</xdr:rowOff>
    </xdr:to>
    <xdr:pic>
      <xdr:nvPicPr>
        <xdr:cNvPr id="5" name="Picture 11" descr="LSI_ta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0</xdr:colOff>
      <xdr:row>2</xdr:row>
      <xdr:rowOff>219075</xdr:rowOff>
    </xdr:to>
    <xdr:pic>
      <xdr:nvPicPr>
        <xdr:cNvPr id="1" name="Picture 2" descr="LSI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266700</xdr:rowOff>
    </xdr:to>
    <xdr:pic>
      <xdr:nvPicPr>
        <xdr:cNvPr id="2" name="Picture 3" descr="LSI_ta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62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9"/>
  <sheetViews>
    <sheetView tabSelected="1" zoomScalePageLayoutView="0" workbookViewId="0" topLeftCell="A1">
      <selection activeCell="E5" sqref="E5"/>
    </sheetView>
  </sheetViews>
  <sheetFormatPr defaultColWidth="8.8515625" defaultRowHeight="12.75"/>
  <cols>
    <col min="1" max="4" width="10.140625" style="0" customWidth="1"/>
    <col min="5" max="5" width="41.28125" style="0" customWidth="1"/>
    <col min="6" max="41" width="8.8515625" style="0" customWidth="1"/>
    <col min="42" max="42" width="45.421875" style="0" bestFit="1" customWidth="1"/>
    <col min="43" max="43" width="22.8515625" style="5" customWidth="1"/>
    <col min="44" max="44" width="26.7109375" style="5" customWidth="1"/>
    <col min="45" max="45" width="12.28125" style="1" bestFit="1" customWidth="1"/>
    <col min="46" max="46" width="14.7109375" style="1" customWidth="1"/>
    <col min="47" max="47" width="13.140625" style="1" customWidth="1"/>
    <col min="48" max="48" width="12.421875" style="5" bestFit="1" customWidth="1"/>
    <col min="49" max="49" width="49.7109375" style="0" customWidth="1"/>
    <col min="50" max="50" width="73.140625" style="0" customWidth="1"/>
  </cols>
  <sheetData>
    <row r="1" spans="4:49" ht="51" customHeight="1">
      <c r="D1" s="54" t="s">
        <v>24</v>
      </c>
      <c r="AP1" s="21"/>
      <c r="AQ1" s="22" t="s">
        <v>212</v>
      </c>
      <c r="AR1" s="22" t="s">
        <v>213</v>
      </c>
      <c r="AS1" s="23" t="s">
        <v>141</v>
      </c>
      <c r="AT1" s="23" t="s">
        <v>214</v>
      </c>
      <c r="AU1" s="23" t="s">
        <v>215</v>
      </c>
      <c r="AV1" s="24" t="s">
        <v>216</v>
      </c>
      <c r="AW1" s="25"/>
    </row>
    <row r="2" spans="4:49" ht="29.25" customHeight="1">
      <c r="D2" s="54" t="s">
        <v>25</v>
      </c>
      <c r="AP2" s="21"/>
      <c r="AQ2" s="22"/>
      <c r="AR2" s="22"/>
      <c r="AS2" s="23"/>
      <c r="AT2" s="23"/>
      <c r="AU2" s="23"/>
      <c r="AV2" s="24"/>
      <c r="AW2" s="25"/>
    </row>
    <row r="3" spans="5:49" ht="26.25" customHeight="1">
      <c r="E3" s="57" t="s">
        <v>23</v>
      </c>
      <c r="AP3" s="21"/>
      <c r="AQ3" s="22"/>
      <c r="AR3" s="22"/>
      <c r="AS3" s="23"/>
      <c r="AT3" s="23"/>
      <c r="AU3" s="23"/>
      <c r="AV3" s="24"/>
      <c r="AW3" s="25"/>
    </row>
    <row r="4" spans="42:49" ht="12.75" customHeight="1">
      <c r="AP4" s="21"/>
      <c r="AQ4" s="22"/>
      <c r="AR4" s="22"/>
      <c r="AS4" s="23"/>
      <c r="AT4" s="23"/>
      <c r="AU4" s="23"/>
      <c r="AV4" s="24"/>
      <c r="AW4" s="25"/>
    </row>
    <row r="5" spans="4:50" ht="12.75">
      <c r="D5" s="11" t="s">
        <v>217</v>
      </c>
      <c r="E5" s="92"/>
      <c r="AP5" t="s">
        <v>232</v>
      </c>
      <c r="AR5" s="5">
        <v>0.64</v>
      </c>
      <c r="AS5" s="1">
        <v>13</v>
      </c>
      <c r="AT5" s="1">
        <v>1</v>
      </c>
      <c r="AU5" s="1">
        <v>755</v>
      </c>
      <c r="AV5" s="5">
        <v>1</v>
      </c>
      <c r="AW5" s="7" t="s">
        <v>72</v>
      </c>
      <c r="AX5" t="s">
        <v>254</v>
      </c>
    </row>
    <row r="6" spans="4:50" ht="12.75">
      <c r="D6" s="11"/>
      <c r="E6" s="92"/>
      <c r="AP6" t="s">
        <v>233</v>
      </c>
      <c r="AR6" s="5">
        <v>0.63</v>
      </c>
      <c r="AS6" s="1">
        <v>18</v>
      </c>
      <c r="AT6" s="1">
        <v>1</v>
      </c>
      <c r="AU6" s="1">
        <v>980</v>
      </c>
      <c r="AV6" s="5">
        <v>1</v>
      </c>
      <c r="AW6" s="7" t="s">
        <v>72</v>
      </c>
      <c r="AX6" t="s">
        <v>254</v>
      </c>
    </row>
    <row r="7" spans="4:50" ht="12.75">
      <c r="D7" s="11" t="s">
        <v>41</v>
      </c>
      <c r="E7" s="92"/>
      <c r="AP7" t="s">
        <v>234</v>
      </c>
      <c r="AR7" s="5">
        <v>0.66</v>
      </c>
      <c r="AS7" s="1">
        <v>26</v>
      </c>
      <c r="AT7" s="1">
        <v>1</v>
      </c>
      <c r="AU7" s="1">
        <v>1440</v>
      </c>
      <c r="AV7" s="5">
        <v>1</v>
      </c>
      <c r="AW7" s="7" t="s">
        <v>72</v>
      </c>
      <c r="AX7" t="s">
        <v>254</v>
      </c>
    </row>
    <row r="8" spans="4:50" ht="12.75">
      <c r="D8" s="11" t="s">
        <v>42</v>
      </c>
      <c r="E8" s="92"/>
      <c r="AP8" t="s">
        <v>236</v>
      </c>
      <c r="AR8" s="5">
        <v>0.57</v>
      </c>
      <c r="AS8" s="1">
        <v>32</v>
      </c>
      <c r="AT8" s="1">
        <v>1</v>
      </c>
      <c r="AU8" s="1">
        <v>1850</v>
      </c>
      <c r="AV8" s="5">
        <v>1</v>
      </c>
      <c r="AW8" s="7" t="s">
        <v>72</v>
      </c>
      <c r="AX8" t="s">
        <v>254</v>
      </c>
    </row>
    <row r="9" spans="4:50" ht="12.75">
      <c r="D9" s="11" t="s">
        <v>43</v>
      </c>
      <c r="E9" s="92"/>
      <c r="AP9" t="s">
        <v>235</v>
      </c>
      <c r="AR9" s="5">
        <v>0.48</v>
      </c>
      <c r="AS9" s="1">
        <v>42</v>
      </c>
      <c r="AT9" s="1">
        <v>1</v>
      </c>
      <c r="AU9" s="1">
        <v>2690</v>
      </c>
      <c r="AV9" s="5">
        <v>1</v>
      </c>
      <c r="AW9" s="7" t="s">
        <v>72</v>
      </c>
      <c r="AX9" t="s">
        <v>254</v>
      </c>
    </row>
    <row r="10" spans="4:50" ht="12.75">
      <c r="D10" s="11" t="s">
        <v>218</v>
      </c>
      <c r="E10" s="93"/>
      <c r="AP10" s="9" t="s">
        <v>73</v>
      </c>
      <c r="AQ10" s="8">
        <v>0.92</v>
      </c>
      <c r="AS10" s="1">
        <v>59</v>
      </c>
      <c r="AT10" s="1">
        <v>2</v>
      </c>
      <c r="AU10" s="1">
        <v>5600</v>
      </c>
      <c r="AV10" s="8">
        <v>0.88</v>
      </c>
      <c r="AW10" s="7" t="s">
        <v>208</v>
      </c>
      <c r="AX10" t="s">
        <v>255</v>
      </c>
    </row>
    <row r="11" spans="4:50" ht="12.75">
      <c r="D11" s="11" t="s">
        <v>219</v>
      </c>
      <c r="E11" s="92"/>
      <c r="AP11" s="9" t="s">
        <v>74</v>
      </c>
      <c r="AQ11" s="8">
        <v>0.92</v>
      </c>
      <c r="AS11" s="1">
        <v>78</v>
      </c>
      <c r="AT11" s="1">
        <v>2</v>
      </c>
      <c r="AU11" s="1">
        <v>5600</v>
      </c>
      <c r="AV11" s="8">
        <v>1.18</v>
      </c>
      <c r="AW11" s="7" t="s">
        <v>208</v>
      </c>
      <c r="AX11" t="s">
        <v>255</v>
      </c>
    </row>
    <row r="12" spans="42:50" ht="12.75">
      <c r="AP12" s="9" t="s">
        <v>75</v>
      </c>
      <c r="AQ12" s="8">
        <v>0.93</v>
      </c>
      <c r="AS12" s="1">
        <v>59</v>
      </c>
      <c r="AT12" s="1">
        <v>2</v>
      </c>
      <c r="AU12" s="1">
        <v>5600</v>
      </c>
      <c r="AV12" s="8">
        <v>0.88</v>
      </c>
      <c r="AW12" s="7" t="s">
        <v>208</v>
      </c>
      <c r="AX12" s="122" t="s">
        <v>256</v>
      </c>
    </row>
    <row r="13" spans="2:50" ht="16.5" thickBot="1">
      <c r="B13" s="2" t="s">
        <v>204</v>
      </c>
      <c r="AP13" s="9" t="s">
        <v>76</v>
      </c>
      <c r="AQ13" s="8">
        <v>0.93</v>
      </c>
      <c r="AS13" s="1">
        <v>78</v>
      </c>
      <c r="AT13" s="1">
        <v>2</v>
      </c>
      <c r="AU13" s="1">
        <v>5600</v>
      </c>
      <c r="AV13" s="8">
        <v>1.18</v>
      </c>
      <c r="AW13" s="7" t="s">
        <v>208</v>
      </c>
      <c r="AX13" s="122" t="s">
        <v>256</v>
      </c>
    </row>
    <row r="14" spans="2:50" ht="12.75">
      <c r="B14" s="58"/>
      <c r="C14" s="59"/>
      <c r="D14" s="59"/>
      <c r="E14" s="60"/>
      <c r="AP14" s="9" t="s">
        <v>0</v>
      </c>
      <c r="AQ14" s="8">
        <v>0.95</v>
      </c>
      <c r="AS14" s="1">
        <v>59</v>
      </c>
      <c r="AT14" s="1">
        <v>2</v>
      </c>
      <c r="AU14" s="1">
        <v>5600</v>
      </c>
      <c r="AV14" s="8">
        <v>0.88</v>
      </c>
      <c r="AW14" s="7" t="s">
        <v>208</v>
      </c>
      <c r="AX14" s="122" t="s">
        <v>257</v>
      </c>
    </row>
    <row r="15" spans="2:50" ht="12.75">
      <c r="B15" s="61"/>
      <c r="C15" s="37"/>
      <c r="D15" s="41" t="s">
        <v>140</v>
      </c>
      <c r="E15" s="94"/>
      <c r="AP15" s="9" t="s">
        <v>1</v>
      </c>
      <c r="AQ15" s="8">
        <v>0.95</v>
      </c>
      <c r="AS15" s="1">
        <v>78</v>
      </c>
      <c r="AT15" s="1">
        <v>2</v>
      </c>
      <c r="AU15" s="1">
        <v>5600</v>
      </c>
      <c r="AV15" s="8">
        <v>1.18</v>
      </c>
      <c r="AW15" s="7" t="s">
        <v>208</v>
      </c>
      <c r="AX15" s="122" t="s">
        <v>257</v>
      </c>
    </row>
    <row r="16" spans="2:50" ht="12.75">
      <c r="B16" s="61"/>
      <c r="C16" s="37"/>
      <c r="D16" s="41" t="s">
        <v>223</v>
      </c>
      <c r="E16" s="95"/>
      <c r="AP16" t="s">
        <v>2</v>
      </c>
      <c r="AR16" s="5">
        <v>0.83</v>
      </c>
      <c r="AS16" s="1">
        <v>85</v>
      </c>
      <c r="AT16" s="1">
        <v>3</v>
      </c>
      <c r="AU16" s="1">
        <v>8400</v>
      </c>
      <c r="AV16" s="8">
        <v>0.88</v>
      </c>
      <c r="AW16" s="7" t="s">
        <v>205</v>
      </c>
      <c r="AX16" t="s">
        <v>258</v>
      </c>
    </row>
    <row r="17" spans="2:50" ht="12.75">
      <c r="B17" s="61"/>
      <c r="C17" s="37"/>
      <c r="D17" s="41" t="s">
        <v>222</v>
      </c>
      <c r="E17" s="95"/>
      <c r="AP17" t="s">
        <v>3</v>
      </c>
      <c r="AR17" s="5">
        <v>0.83</v>
      </c>
      <c r="AS17" s="1">
        <v>114</v>
      </c>
      <c r="AT17" s="1">
        <v>3</v>
      </c>
      <c r="AU17" s="1">
        <v>8400</v>
      </c>
      <c r="AV17" s="8">
        <v>1.18</v>
      </c>
      <c r="AW17" s="7" t="s">
        <v>205</v>
      </c>
      <c r="AX17" t="s">
        <v>258</v>
      </c>
    </row>
    <row r="18" spans="2:50" ht="12.75">
      <c r="B18" s="61"/>
      <c r="C18" s="37"/>
      <c r="D18" s="41" t="s">
        <v>221</v>
      </c>
      <c r="E18" s="95"/>
      <c r="AP18" t="s">
        <v>265</v>
      </c>
      <c r="AQ18" s="5">
        <v>0.53</v>
      </c>
      <c r="AS18" s="1">
        <v>893</v>
      </c>
      <c r="AT18" s="1">
        <v>16</v>
      </c>
      <c r="AU18" s="1">
        <v>80000</v>
      </c>
      <c r="AV18" s="5">
        <v>0.9</v>
      </c>
      <c r="AW18" s="7" t="s">
        <v>266</v>
      </c>
      <c r="AX18" t="s">
        <v>267</v>
      </c>
    </row>
    <row r="19" spans="2:50" ht="12.75">
      <c r="B19" s="61"/>
      <c r="C19" s="37"/>
      <c r="D19" s="41" t="s">
        <v>220</v>
      </c>
      <c r="E19" s="96"/>
      <c r="AP19" t="s">
        <v>268</v>
      </c>
      <c r="AQ19" s="5">
        <v>0.5</v>
      </c>
      <c r="AS19" s="1">
        <v>679</v>
      </c>
      <c r="AT19" s="1">
        <v>12</v>
      </c>
      <c r="AU19" s="1">
        <v>60000</v>
      </c>
      <c r="AV19" s="5">
        <v>0.9</v>
      </c>
      <c r="AW19" s="7" t="s">
        <v>266</v>
      </c>
      <c r="AX19" t="s">
        <v>267</v>
      </c>
    </row>
    <row r="20" spans="2:50" ht="13.5" thickBot="1">
      <c r="B20" s="62"/>
      <c r="C20" s="63"/>
      <c r="D20" s="63"/>
      <c r="E20" s="64"/>
      <c r="AP20" s="116" t="s">
        <v>4</v>
      </c>
      <c r="AQ20" s="8">
        <v>0.89</v>
      </c>
      <c r="AS20" s="1">
        <v>112</v>
      </c>
      <c r="AT20" s="1">
        <v>4</v>
      </c>
      <c r="AU20" s="1">
        <v>11200</v>
      </c>
      <c r="AV20" s="8">
        <v>0.88</v>
      </c>
      <c r="AW20" s="7" t="s">
        <v>210</v>
      </c>
      <c r="AX20" t="s">
        <v>259</v>
      </c>
    </row>
    <row r="21" spans="42:50" ht="12.75">
      <c r="AP21" s="116" t="s">
        <v>5</v>
      </c>
      <c r="AQ21" s="8">
        <v>0.89</v>
      </c>
      <c r="AS21" s="1">
        <v>156</v>
      </c>
      <c r="AT21" s="1">
        <v>4</v>
      </c>
      <c r="AU21" s="1">
        <v>11200</v>
      </c>
      <c r="AV21" s="8">
        <v>1.18</v>
      </c>
      <c r="AW21" s="7" t="s">
        <v>210</v>
      </c>
      <c r="AX21" t="s">
        <v>259</v>
      </c>
    </row>
    <row r="22" spans="2:50" ht="16.5" thickBot="1">
      <c r="B22" s="56" t="s">
        <v>224</v>
      </c>
      <c r="E22" s="98">
        <f>IF(LEFT(E24,1)="&lt;","",HYPERLINK(VLOOKUP(E24,LSI_Product_Table,9,FALSE),"Click here to view product datasheet"))</f>
      </c>
      <c r="AP22" s="116" t="s">
        <v>6</v>
      </c>
      <c r="AQ22" s="8">
        <v>0.95</v>
      </c>
      <c r="AS22" s="1">
        <v>468</v>
      </c>
      <c r="AT22" s="1">
        <v>8</v>
      </c>
      <c r="AU22" s="1">
        <v>34200</v>
      </c>
      <c r="AV22" s="8">
        <v>0.99</v>
      </c>
      <c r="AW22" s="7" t="s">
        <v>210</v>
      </c>
      <c r="AX22" t="s">
        <v>259</v>
      </c>
    </row>
    <row r="23" spans="2:50" ht="12.75">
      <c r="B23" s="58"/>
      <c r="C23" s="59"/>
      <c r="D23" s="59"/>
      <c r="E23" s="60"/>
      <c r="AP23" s="116" t="s">
        <v>7</v>
      </c>
      <c r="AQ23" s="8">
        <v>0.95</v>
      </c>
      <c r="AS23" s="1">
        <v>234</v>
      </c>
      <c r="AT23" s="1">
        <v>4</v>
      </c>
      <c r="AU23" s="1">
        <v>17100</v>
      </c>
      <c r="AV23" s="8">
        <v>0.99</v>
      </c>
      <c r="AW23" s="7" t="s">
        <v>210</v>
      </c>
      <c r="AX23" t="s">
        <v>259</v>
      </c>
    </row>
    <row r="24" spans="2:50" ht="12.75">
      <c r="B24" s="61"/>
      <c r="C24" s="37"/>
      <c r="D24" s="41" t="s">
        <v>225</v>
      </c>
      <c r="E24" s="95" t="s">
        <v>27</v>
      </c>
      <c r="AP24" s="116" t="s">
        <v>8</v>
      </c>
      <c r="AQ24" s="8">
        <v>0.77</v>
      </c>
      <c r="AR24" s="8"/>
      <c r="AS24" s="91">
        <v>234</v>
      </c>
      <c r="AT24" s="91">
        <v>4</v>
      </c>
      <c r="AU24" s="91">
        <v>17100</v>
      </c>
      <c r="AV24" s="8">
        <v>0.99</v>
      </c>
      <c r="AW24" s="7" t="s">
        <v>209</v>
      </c>
      <c r="AX24" t="s">
        <v>259</v>
      </c>
    </row>
    <row r="25" spans="2:50" ht="12.75">
      <c r="B25" s="61"/>
      <c r="C25" s="37"/>
      <c r="D25" s="41" t="s">
        <v>57</v>
      </c>
      <c r="E25" s="114"/>
      <c r="AP25" s="116" t="s">
        <v>9</v>
      </c>
      <c r="AQ25" s="5">
        <v>0.77</v>
      </c>
      <c r="AS25" s="1">
        <v>234</v>
      </c>
      <c r="AT25" s="1">
        <v>4</v>
      </c>
      <c r="AU25" s="1">
        <v>17100</v>
      </c>
      <c r="AV25" s="8">
        <v>0.99</v>
      </c>
      <c r="AW25" s="7" t="s">
        <v>209</v>
      </c>
      <c r="AX25" t="s">
        <v>259</v>
      </c>
    </row>
    <row r="26" spans="2:50" ht="12.75">
      <c r="B26" s="61"/>
      <c r="C26" s="37"/>
      <c r="D26" s="41" t="s">
        <v>56</v>
      </c>
      <c r="E26" s="114"/>
      <c r="AP26" s="116" t="s">
        <v>242</v>
      </c>
      <c r="AQ26" s="8">
        <v>0.92</v>
      </c>
      <c r="AS26" s="1">
        <v>234</v>
      </c>
      <c r="AT26" s="1">
        <v>4</v>
      </c>
      <c r="AU26" s="1">
        <v>17100</v>
      </c>
      <c r="AV26" s="8">
        <v>0.99</v>
      </c>
      <c r="AW26" s="7" t="s">
        <v>210</v>
      </c>
      <c r="AX26" t="s">
        <v>259</v>
      </c>
    </row>
    <row r="27" spans="2:50" ht="12.75">
      <c r="B27" s="61"/>
      <c r="C27" s="37"/>
      <c r="D27" s="41" t="s">
        <v>58</v>
      </c>
      <c r="E27" s="114"/>
      <c r="AP27" s="116" t="s">
        <v>237</v>
      </c>
      <c r="AQ27" s="5">
        <v>0.89</v>
      </c>
      <c r="AS27" s="1">
        <v>171</v>
      </c>
      <c r="AT27" s="1">
        <v>6</v>
      </c>
      <c r="AU27" s="1">
        <v>16800</v>
      </c>
      <c r="AV27" s="8">
        <v>0.88</v>
      </c>
      <c r="AW27" s="7" t="s">
        <v>210</v>
      </c>
      <c r="AX27" t="s">
        <v>259</v>
      </c>
    </row>
    <row r="28" spans="2:50" ht="12.75">
      <c r="B28" s="61"/>
      <c r="C28" s="37"/>
      <c r="D28" s="41" t="s">
        <v>59</v>
      </c>
      <c r="E28" s="114"/>
      <c r="AP28" s="116" t="s">
        <v>10</v>
      </c>
      <c r="AQ28" s="5">
        <v>0.89</v>
      </c>
      <c r="AS28" s="1">
        <v>228</v>
      </c>
      <c r="AT28" s="1">
        <v>6</v>
      </c>
      <c r="AU28" s="1">
        <v>16800</v>
      </c>
      <c r="AV28" s="8">
        <v>1.18</v>
      </c>
      <c r="AW28" s="7" t="s">
        <v>210</v>
      </c>
      <c r="AX28" t="s">
        <v>259</v>
      </c>
    </row>
    <row r="29" spans="2:50" ht="12.75">
      <c r="B29" s="61"/>
      <c r="C29" s="37"/>
      <c r="D29" s="41" t="s">
        <v>60</v>
      </c>
      <c r="E29" s="114"/>
      <c r="AP29" s="116" t="s">
        <v>11</v>
      </c>
      <c r="AQ29" s="5">
        <v>0.74</v>
      </c>
      <c r="AS29" s="1">
        <v>228</v>
      </c>
      <c r="AT29" s="1">
        <v>6</v>
      </c>
      <c r="AU29" s="1">
        <v>16800</v>
      </c>
      <c r="AV29" s="8">
        <v>1.18</v>
      </c>
      <c r="AW29" s="7" t="s">
        <v>209</v>
      </c>
      <c r="AX29" t="s">
        <v>259</v>
      </c>
    </row>
    <row r="30" spans="2:50" ht="12.75">
      <c r="B30" s="61"/>
      <c r="C30" s="37"/>
      <c r="D30" s="41" t="s">
        <v>221</v>
      </c>
      <c r="E30" s="97"/>
      <c r="AP30" s="116" t="s">
        <v>12</v>
      </c>
      <c r="AQ30" s="5">
        <v>0.73</v>
      </c>
      <c r="AS30" s="1">
        <v>228</v>
      </c>
      <c r="AT30" s="1">
        <v>6</v>
      </c>
      <c r="AU30" s="1">
        <v>16800</v>
      </c>
      <c r="AV30" s="8">
        <v>1.18</v>
      </c>
      <c r="AW30" s="7" t="s">
        <v>209</v>
      </c>
      <c r="AX30" t="s">
        <v>259</v>
      </c>
    </row>
    <row r="31" spans="2:50" ht="13.5" thickBot="1">
      <c r="B31" s="62"/>
      <c r="C31" s="63"/>
      <c r="D31" s="63"/>
      <c r="E31" s="64"/>
      <c r="AP31" t="s">
        <v>239</v>
      </c>
      <c r="AQ31" s="5">
        <v>0.91</v>
      </c>
      <c r="AS31" s="1">
        <v>228</v>
      </c>
      <c r="AT31" s="1">
        <v>6</v>
      </c>
      <c r="AU31" s="1">
        <v>16800</v>
      </c>
      <c r="AV31" s="8">
        <v>1.18</v>
      </c>
      <c r="AW31" s="7" t="s">
        <v>210</v>
      </c>
      <c r="AX31" t="s">
        <v>259</v>
      </c>
    </row>
    <row r="32" spans="42:50" ht="12.75">
      <c r="AP32" s="116" t="s">
        <v>13</v>
      </c>
      <c r="AQ32" s="5">
        <v>0.74</v>
      </c>
      <c r="AS32" s="1">
        <v>171</v>
      </c>
      <c r="AT32" s="1">
        <v>6</v>
      </c>
      <c r="AU32" s="1">
        <v>16800</v>
      </c>
      <c r="AV32" s="8">
        <v>0.88</v>
      </c>
      <c r="AW32" s="7" t="s">
        <v>209</v>
      </c>
      <c r="AX32" t="s">
        <v>259</v>
      </c>
    </row>
    <row r="33" spans="2:50" ht="16.5" thickBot="1">
      <c r="B33" s="56" t="s">
        <v>226</v>
      </c>
      <c r="E33" s="98">
        <f>IF(LEFT(E35,1)="&lt;","",HYPERLINK(VLOOKUP(E35,LSI_Product_Table,9,FALSE),"Click here to view product datasheet"))</f>
      </c>
      <c r="AP33" s="116" t="s">
        <v>14</v>
      </c>
      <c r="AQ33" s="5">
        <v>0.73</v>
      </c>
      <c r="AS33" s="1">
        <v>171</v>
      </c>
      <c r="AT33" s="1">
        <v>6</v>
      </c>
      <c r="AU33" s="1">
        <v>16800</v>
      </c>
      <c r="AV33" s="8">
        <v>0.88</v>
      </c>
      <c r="AW33" s="7" t="s">
        <v>209</v>
      </c>
      <c r="AX33" t="s">
        <v>259</v>
      </c>
    </row>
    <row r="34" spans="2:50" ht="12.75">
      <c r="B34" s="58"/>
      <c r="C34" s="59"/>
      <c r="D34" s="59"/>
      <c r="E34" s="60"/>
      <c r="AP34" t="s">
        <v>238</v>
      </c>
      <c r="AQ34" s="5">
        <v>0.91</v>
      </c>
      <c r="AS34" s="1">
        <v>171</v>
      </c>
      <c r="AT34" s="1">
        <v>6</v>
      </c>
      <c r="AU34" s="1">
        <v>16800</v>
      </c>
      <c r="AV34" s="8">
        <v>0.88</v>
      </c>
      <c r="AW34" s="7" t="s">
        <v>210</v>
      </c>
      <c r="AX34" t="s">
        <v>259</v>
      </c>
    </row>
    <row r="35" spans="2:50" ht="12.75">
      <c r="B35" s="61"/>
      <c r="C35" s="37"/>
      <c r="D35" s="41" t="s">
        <v>225</v>
      </c>
      <c r="E35" s="95" t="s">
        <v>27</v>
      </c>
      <c r="AP35" s="116" t="s">
        <v>15</v>
      </c>
      <c r="AQ35" s="5">
        <v>0.95</v>
      </c>
      <c r="AS35" s="1">
        <v>702</v>
      </c>
      <c r="AT35" s="1">
        <v>12</v>
      </c>
      <c r="AU35" s="1">
        <v>51300</v>
      </c>
      <c r="AV35" s="8">
        <v>0.99</v>
      </c>
      <c r="AW35" s="7" t="s">
        <v>210</v>
      </c>
      <c r="AX35" t="s">
        <v>259</v>
      </c>
    </row>
    <row r="36" spans="2:50" ht="12.75">
      <c r="B36" s="61"/>
      <c r="C36" s="37"/>
      <c r="D36" s="41" t="s">
        <v>57</v>
      </c>
      <c r="E36" s="114"/>
      <c r="AP36" s="116" t="s">
        <v>16</v>
      </c>
      <c r="AQ36" s="5">
        <v>0.95</v>
      </c>
      <c r="AS36" s="1">
        <v>351</v>
      </c>
      <c r="AT36" s="1">
        <v>6</v>
      </c>
      <c r="AU36" s="1">
        <v>25650</v>
      </c>
      <c r="AV36" s="8">
        <v>0.99</v>
      </c>
      <c r="AW36" s="7" t="s">
        <v>210</v>
      </c>
      <c r="AX36" t="s">
        <v>259</v>
      </c>
    </row>
    <row r="37" spans="2:50" ht="12.75">
      <c r="B37" s="61"/>
      <c r="C37" s="37"/>
      <c r="D37" s="41" t="s">
        <v>56</v>
      </c>
      <c r="E37" s="114"/>
      <c r="AP37" s="116" t="s">
        <v>240</v>
      </c>
      <c r="AQ37" s="8">
        <v>0.77</v>
      </c>
      <c r="AR37" s="8"/>
      <c r="AS37" s="91">
        <v>352</v>
      </c>
      <c r="AT37" s="91">
        <v>6</v>
      </c>
      <c r="AU37" s="91">
        <v>25650</v>
      </c>
      <c r="AV37" s="8">
        <v>0.99</v>
      </c>
      <c r="AW37" s="7" t="s">
        <v>209</v>
      </c>
      <c r="AX37" t="s">
        <v>259</v>
      </c>
    </row>
    <row r="38" spans="2:50" ht="12.75">
      <c r="B38" s="61"/>
      <c r="C38" s="37"/>
      <c r="D38" s="41" t="s">
        <v>58</v>
      </c>
      <c r="E38" s="114"/>
      <c r="AP38" s="116" t="s">
        <v>241</v>
      </c>
      <c r="AQ38" s="5">
        <v>0.77</v>
      </c>
      <c r="AS38" s="1">
        <v>351</v>
      </c>
      <c r="AT38" s="1">
        <v>6</v>
      </c>
      <c r="AU38" s="1">
        <v>25650</v>
      </c>
      <c r="AV38" s="8">
        <v>0.99</v>
      </c>
      <c r="AW38" s="7" t="s">
        <v>209</v>
      </c>
      <c r="AX38" t="s">
        <v>259</v>
      </c>
    </row>
    <row r="39" spans="2:50" ht="12.75">
      <c r="B39" s="61"/>
      <c r="C39" s="37"/>
      <c r="D39" s="41" t="s">
        <v>59</v>
      </c>
      <c r="E39" s="114"/>
      <c r="AP39" s="116" t="s">
        <v>243</v>
      </c>
      <c r="AQ39" s="5">
        <v>0.92</v>
      </c>
      <c r="AS39" s="1">
        <v>351</v>
      </c>
      <c r="AT39" s="1">
        <v>6</v>
      </c>
      <c r="AU39" s="1">
        <v>25650</v>
      </c>
      <c r="AV39" s="8">
        <v>0.99</v>
      </c>
      <c r="AW39" s="7" t="s">
        <v>210</v>
      </c>
      <c r="AX39" t="s">
        <v>259</v>
      </c>
    </row>
    <row r="40" spans="2:50" ht="12.75">
      <c r="B40" s="61"/>
      <c r="C40" s="37"/>
      <c r="D40" s="41" t="s">
        <v>60</v>
      </c>
      <c r="E40" s="114"/>
      <c r="AP40" s="116" t="s">
        <v>244</v>
      </c>
      <c r="AQ40" s="5">
        <v>0.91</v>
      </c>
      <c r="AS40" s="1">
        <v>468</v>
      </c>
      <c r="AT40" s="1">
        <v>8</v>
      </c>
      <c r="AU40" s="1">
        <v>34200</v>
      </c>
      <c r="AV40" s="8">
        <v>0.99</v>
      </c>
      <c r="AW40" s="7" t="s">
        <v>210</v>
      </c>
      <c r="AX40" t="s">
        <v>259</v>
      </c>
    </row>
    <row r="41" spans="2:50" ht="12.75">
      <c r="B41" s="61"/>
      <c r="C41" s="37"/>
      <c r="D41" s="41" t="s">
        <v>221</v>
      </c>
      <c r="E41" s="97"/>
      <c r="AP41" s="116" t="s">
        <v>246</v>
      </c>
      <c r="AQ41" s="8">
        <v>0.96</v>
      </c>
      <c r="AS41" s="1">
        <v>468</v>
      </c>
      <c r="AT41" s="1">
        <v>8</v>
      </c>
      <c r="AU41" s="1">
        <v>34200</v>
      </c>
      <c r="AV41" s="8">
        <v>0.99</v>
      </c>
      <c r="AW41" s="7" t="s">
        <v>261</v>
      </c>
      <c r="AX41" t="s">
        <v>260</v>
      </c>
    </row>
    <row r="42" spans="2:50" ht="13.5" thickBot="1">
      <c r="B42" s="62"/>
      <c r="C42" s="63"/>
      <c r="D42" s="63"/>
      <c r="E42" s="64"/>
      <c r="AP42" s="116" t="s">
        <v>245</v>
      </c>
      <c r="AQ42" s="5">
        <v>0.96</v>
      </c>
      <c r="AS42" s="1">
        <v>234</v>
      </c>
      <c r="AT42" s="1">
        <v>4</v>
      </c>
      <c r="AU42" s="1">
        <v>17100</v>
      </c>
      <c r="AV42" s="5">
        <v>0.99</v>
      </c>
      <c r="AW42" s="7" t="s">
        <v>261</v>
      </c>
      <c r="AX42" t="s">
        <v>260</v>
      </c>
    </row>
    <row r="43" spans="42:50" ht="12.75">
      <c r="AP43" t="s">
        <v>248</v>
      </c>
      <c r="AQ43" s="5">
        <v>0.84</v>
      </c>
      <c r="AS43" s="1">
        <v>234</v>
      </c>
      <c r="AT43" s="1">
        <v>4</v>
      </c>
      <c r="AU43" s="1">
        <v>17100</v>
      </c>
      <c r="AV43" s="5">
        <v>0.99</v>
      </c>
      <c r="AW43" s="7" t="s">
        <v>261</v>
      </c>
      <c r="AX43" t="s">
        <v>260</v>
      </c>
    </row>
    <row r="44" spans="2:50" ht="13.5" thickBot="1">
      <c r="B44" t="s">
        <v>227</v>
      </c>
      <c r="AP44" t="s">
        <v>247</v>
      </c>
      <c r="AQ44" s="5">
        <v>0.95</v>
      </c>
      <c r="AS44" s="1">
        <v>351</v>
      </c>
      <c r="AT44" s="1">
        <v>6</v>
      </c>
      <c r="AU44" s="1">
        <v>25650</v>
      </c>
      <c r="AV44" s="5">
        <v>0.99</v>
      </c>
      <c r="AW44" s="7" t="s">
        <v>261</v>
      </c>
      <c r="AX44" t="s">
        <v>260</v>
      </c>
    </row>
    <row r="45" spans="2:50" ht="12.75">
      <c r="B45" s="58"/>
      <c r="C45" s="59"/>
      <c r="D45" s="59"/>
      <c r="E45" s="60"/>
      <c r="AP45" t="s">
        <v>17</v>
      </c>
      <c r="AR45" s="5">
        <v>0.84</v>
      </c>
      <c r="AS45" s="1">
        <v>85</v>
      </c>
      <c r="AT45" s="1">
        <v>3</v>
      </c>
      <c r="AU45" s="1">
        <v>8400</v>
      </c>
      <c r="AV45" s="8">
        <v>0.88</v>
      </c>
      <c r="AW45" s="7" t="s">
        <v>206</v>
      </c>
      <c r="AX45" t="s">
        <v>262</v>
      </c>
    </row>
    <row r="46" spans="2:50" ht="12.75">
      <c r="B46" s="61"/>
      <c r="C46" s="37"/>
      <c r="D46" s="41" t="s">
        <v>229</v>
      </c>
      <c r="E46" s="97"/>
      <c r="AP46" t="s">
        <v>18</v>
      </c>
      <c r="AR46" s="5">
        <v>0.7896</v>
      </c>
      <c r="AS46" s="1">
        <v>114</v>
      </c>
      <c r="AT46" s="1">
        <v>3</v>
      </c>
      <c r="AU46" s="1">
        <v>8400</v>
      </c>
      <c r="AV46" s="8">
        <v>1.18</v>
      </c>
      <c r="AW46" s="7" t="s">
        <v>206</v>
      </c>
      <c r="AX46" t="s">
        <v>262</v>
      </c>
    </row>
    <row r="47" spans="2:50" ht="12.75">
      <c r="B47" s="61"/>
      <c r="C47" s="37"/>
      <c r="D47" s="41" t="s">
        <v>228</v>
      </c>
      <c r="E47" s="95" t="s">
        <v>28</v>
      </c>
      <c r="AP47" s="10" t="s">
        <v>19</v>
      </c>
      <c r="AQ47" s="5">
        <v>0.8553999999999999</v>
      </c>
      <c r="AS47" s="1">
        <v>59</v>
      </c>
      <c r="AT47" s="1">
        <v>2</v>
      </c>
      <c r="AU47" s="1">
        <v>5600</v>
      </c>
      <c r="AV47" s="8">
        <v>0.88</v>
      </c>
      <c r="AW47" s="7" t="s">
        <v>207</v>
      </c>
      <c r="AX47" t="s">
        <v>263</v>
      </c>
    </row>
    <row r="48" spans="2:50" ht="12.75">
      <c r="B48" s="61"/>
      <c r="C48" s="37"/>
      <c r="D48" s="41" t="s">
        <v>180</v>
      </c>
      <c r="E48" s="94"/>
      <c r="AP48" s="10" t="s">
        <v>20</v>
      </c>
      <c r="AQ48" s="5">
        <v>0.8553999999999999</v>
      </c>
      <c r="AS48" s="1">
        <v>78</v>
      </c>
      <c r="AT48" s="1">
        <v>2</v>
      </c>
      <c r="AU48" s="1">
        <v>5600</v>
      </c>
      <c r="AV48" s="8">
        <v>1.18</v>
      </c>
      <c r="AW48" s="7" t="s">
        <v>207</v>
      </c>
      <c r="AX48" t="s">
        <v>263</v>
      </c>
    </row>
    <row r="49" spans="2:50" ht="13.5" thickBot="1">
      <c r="B49" s="62"/>
      <c r="C49" s="63"/>
      <c r="D49" s="63"/>
      <c r="E49" s="64"/>
      <c r="AP49" t="s">
        <v>252</v>
      </c>
      <c r="AR49" s="5">
        <v>1.05</v>
      </c>
      <c r="AS49" s="1">
        <v>49.1</v>
      </c>
      <c r="AT49" s="1">
        <v>1</v>
      </c>
      <c r="AU49" s="1">
        <v>3448</v>
      </c>
      <c r="AV49" s="5">
        <v>1</v>
      </c>
      <c r="AW49" s="7" t="s">
        <v>250</v>
      </c>
      <c r="AX49" t="s">
        <v>264</v>
      </c>
    </row>
    <row r="50" spans="42:50" ht="12.75">
      <c r="AP50" t="s">
        <v>253</v>
      </c>
      <c r="AR50" s="5">
        <v>1.05</v>
      </c>
      <c r="AS50" s="1">
        <v>65.5</v>
      </c>
      <c r="AT50" s="1">
        <v>1</v>
      </c>
      <c r="AU50" s="1">
        <v>4314</v>
      </c>
      <c r="AV50" s="5">
        <v>1</v>
      </c>
      <c r="AW50" s="7" t="s">
        <v>250</v>
      </c>
      <c r="AX50" t="s">
        <v>264</v>
      </c>
    </row>
    <row r="51" spans="1:50" ht="12.75">
      <c r="A51" s="12" t="s">
        <v>21</v>
      </c>
      <c r="B51" s="12"/>
      <c r="C51" s="12"/>
      <c r="D51" s="12"/>
      <c r="E51" s="12"/>
      <c r="F51" s="12"/>
      <c r="AP51" t="s">
        <v>249</v>
      </c>
      <c r="AR51" s="5">
        <v>1.04</v>
      </c>
      <c r="AS51" s="1">
        <v>49.7</v>
      </c>
      <c r="AT51" s="1">
        <v>1</v>
      </c>
      <c r="AU51" s="1">
        <v>3689</v>
      </c>
      <c r="AV51" s="5">
        <v>1</v>
      </c>
      <c r="AW51" s="7" t="s">
        <v>250</v>
      </c>
      <c r="AX51" t="s">
        <v>264</v>
      </c>
    </row>
    <row r="52" spans="1:50" ht="12.75">
      <c r="A52" s="12" t="s">
        <v>22</v>
      </c>
      <c r="B52" s="12"/>
      <c r="C52" s="12"/>
      <c r="D52" s="12"/>
      <c r="E52" s="12"/>
      <c r="F52" s="12"/>
      <c r="AP52" t="s">
        <v>251</v>
      </c>
      <c r="AR52" s="5">
        <v>1.05</v>
      </c>
      <c r="AS52" s="1">
        <v>66.4</v>
      </c>
      <c r="AT52" s="1">
        <v>1</v>
      </c>
      <c r="AU52" s="1">
        <v>4665</v>
      </c>
      <c r="AV52" s="5">
        <v>1</v>
      </c>
      <c r="AW52" s="7" t="s">
        <v>250</v>
      </c>
      <c r="AX52" t="s">
        <v>264</v>
      </c>
    </row>
    <row r="53" spans="1:6" ht="12.75">
      <c r="A53" s="12" t="s">
        <v>46</v>
      </c>
      <c r="B53" s="12"/>
      <c r="C53" s="12"/>
      <c r="D53" s="12"/>
      <c r="E53" s="12"/>
      <c r="F53" s="12"/>
    </row>
    <row r="54" spans="1:6" ht="12.75">
      <c r="A54" s="12"/>
      <c r="B54" s="12"/>
      <c r="C54" s="12"/>
      <c r="D54" s="12"/>
      <c r="E54" s="12"/>
      <c r="F54" s="12"/>
    </row>
    <row r="108" ht="12.75">
      <c r="AP108" t="s">
        <v>149</v>
      </c>
    </row>
    <row r="109" spans="42:43" ht="12.75">
      <c r="AP109" s="11" t="s">
        <v>150</v>
      </c>
      <c r="AQ109" s="5" t="s">
        <v>174</v>
      </c>
    </row>
    <row r="110" spans="42:43" ht="12.75">
      <c r="AP110" s="28" t="s">
        <v>151</v>
      </c>
      <c r="AQ110" s="117">
        <v>1.4</v>
      </c>
    </row>
    <row r="111" spans="42:43" ht="12.75">
      <c r="AP111" s="28" t="s">
        <v>152</v>
      </c>
      <c r="AQ111" s="117">
        <v>1.5</v>
      </c>
    </row>
    <row r="112" spans="42:43" ht="12.75">
      <c r="AP112" s="28" t="s">
        <v>153</v>
      </c>
      <c r="AQ112" s="117">
        <v>1.8</v>
      </c>
    </row>
    <row r="113" spans="42:43" ht="12.75">
      <c r="AP113" s="28" t="s">
        <v>154</v>
      </c>
      <c r="AQ113" s="117">
        <v>1.9</v>
      </c>
    </row>
    <row r="114" spans="42:43" ht="12.75">
      <c r="AP114" s="28" t="s">
        <v>155</v>
      </c>
      <c r="AQ114" s="117">
        <v>1.7</v>
      </c>
    </row>
    <row r="115" spans="42:43" ht="12.75">
      <c r="AP115" s="28" t="s">
        <v>156</v>
      </c>
      <c r="AQ115" s="117">
        <v>1.6</v>
      </c>
    </row>
    <row r="116" spans="42:43" ht="12.75">
      <c r="AP116" s="28" t="s">
        <v>157</v>
      </c>
      <c r="AQ116" s="117">
        <v>1.7</v>
      </c>
    </row>
    <row r="117" spans="42:43" ht="12.75">
      <c r="AP117" s="28" t="s">
        <v>158</v>
      </c>
      <c r="AQ117" s="117">
        <v>1.5</v>
      </c>
    </row>
    <row r="118" spans="42:43" ht="12.75">
      <c r="AP118" s="28" t="s">
        <v>159</v>
      </c>
      <c r="AQ118" s="117">
        <v>2.2</v>
      </c>
    </row>
    <row r="119" spans="42:43" ht="12.75">
      <c r="AP119" s="28" t="s">
        <v>160</v>
      </c>
      <c r="AQ119" s="117">
        <v>2</v>
      </c>
    </row>
    <row r="120" spans="42:43" ht="12.75">
      <c r="AP120" s="28" t="s">
        <v>161</v>
      </c>
      <c r="AQ120" s="117">
        <v>1.6</v>
      </c>
    </row>
    <row r="121" spans="42:43" ht="12.75">
      <c r="AP121" s="28" t="s">
        <v>162</v>
      </c>
      <c r="AQ121" s="117">
        <v>1.6</v>
      </c>
    </row>
    <row r="122" spans="42:43" ht="12.75">
      <c r="AP122" s="28" t="s">
        <v>131</v>
      </c>
      <c r="AQ122" s="117">
        <v>1.3</v>
      </c>
    </row>
    <row r="123" spans="42:43" ht="12.75">
      <c r="AP123" s="28" t="s">
        <v>163</v>
      </c>
      <c r="AQ123" s="117">
        <v>0.3</v>
      </c>
    </row>
    <row r="124" spans="42:43" ht="12.75">
      <c r="AP124" s="28" t="s">
        <v>164</v>
      </c>
      <c r="AQ124" s="117">
        <v>1.2</v>
      </c>
    </row>
    <row r="125" spans="42:43" ht="12.75">
      <c r="AP125" s="28" t="s">
        <v>165</v>
      </c>
      <c r="AQ125" s="117">
        <v>1.6</v>
      </c>
    </row>
    <row r="126" spans="42:43" ht="12.75">
      <c r="AP126" s="28" t="s">
        <v>166</v>
      </c>
      <c r="AQ126" s="117">
        <v>2.2</v>
      </c>
    </row>
    <row r="127" spans="42:43" ht="12.75">
      <c r="AP127" s="28" t="s">
        <v>167</v>
      </c>
      <c r="AQ127" s="117">
        <v>1.9</v>
      </c>
    </row>
    <row r="128" spans="42:43" ht="12.75">
      <c r="AP128" s="28" t="s">
        <v>168</v>
      </c>
      <c r="AQ128" s="117">
        <v>1.5</v>
      </c>
    </row>
    <row r="129" spans="42:43" ht="12.75">
      <c r="AP129" s="29" t="s">
        <v>169</v>
      </c>
      <c r="AQ129" s="117">
        <v>1.5</v>
      </c>
    </row>
    <row r="130" spans="42:43" ht="12.75">
      <c r="AP130" s="29" t="s">
        <v>170</v>
      </c>
      <c r="AQ130" s="117">
        <v>1.4</v>
      </c>
    </row>
    <row r="131" spans="42:43" ht="12.75">
      <c r="AP131" s="29" t="s">
        <v>171</v>
      </c>
      <c r="AQ131" s="117">
        <v>1.2</v>
      </c>
    </row>
    <row r="132" spans="42:43" ht="12.75">
      <c r="AP132" s="29" t="s">
        <v>172</v>
      </c>
      <c r="AQ132" s="117">
        <v>1.2</v>
      </c>
    </row>
    <row r="133" spans="42:43" ht="12.75">
      <c r="AP133" s="29" t="s">
        <v>173</v>
      </c>
      <c r="AQ133" s="117">
        <v>1.7</v>
      </c>
    </row>
    <row r="209" spans="42:44" ht="12.75">
      <c r="AP209" s="33" t="s">
        <v>183</v>
      </c>
      <c r="AQ209" s="118">
        <v>50</v>
      </c>
      <c r="AR209" s="120"/>
    </row>
    <row r="210" spans="42:44" ht="12.75">
      <c r="AP210" s="33" t="s">
        <v>184</v>
      </c>
      <c r="AQ210" s="118">
        <v>30</v>
      </c>
      <c r="AR210" s="120"/>
    </row>
    <row r="211" spans="42:44" ht="12.75">
      <c r="AP211" s="32" t="s">
        <v>185</v>
      </c>
      <c r="AQ211" s="118">
        <v>10</v>
      </c>
      <c r="AR211" s="120"/>
    </row>
    <row r="212" spans="42:44" ht="12.75">
      <c r="AP212" s="32" t="s">
        <v>186</v>
      </c>
      <c r="AQ212" s="118">
        <v>30</v>
      </c>
      <c r="AR212" s="120"/>
    </row>
    <row r="213" spans="42:44" ht="12.75">
      <c r="AP213" s="32" t="s">
        <v>187</v>
      </c>
      <c r="AQ213" s="118">
        <v>50</v>
      </c>
      <c r="AR213" s="120"/>
    </row>
    <row r="214" spans="42:44" ht="12.75">
      <c r="AP214" s="32" t="s">
        <v>188</v>
      </c>
      <c r="AQ214" s="118">
        <v>30</v>
      </c>
      <c r="AR214" s="120"/>
    </row>
    <row r="215" spans="42:44" ht="12.75">
      <c r="AP215" s="32" t="s">
        <v>189</v>
      </c>
      <c r="AQ215" s="118">
        <v>10</v>
      </c>
      <c r="AR215" s="120"/>
    </row>
    <row r="216" spans="42:44" ht="12.75">
      <c r="AP216" s="32" t="s">
        <v>190</v>
      </c>
      <c r="AQ216" s="118">
        <v>50</v>
      </c>
      <c r="AR216" s="120"/>
    </row>
    <row r="217" spans="42:44" ht="12.75">
      <c r="AP217" s="32" t="s">
        <v>191</v>
      </c>
      <c r="AQ217" s="118">
        <v>50</v>
      </c>
      <c r="AR217" s="120"/>
    </row>
    <row r="218" spans="42:44" ht="12.75">
      <c r="AP218" s="32" t="s">
        <v>192</v>
      </c>
      <c r="AQ218" s="118">
        <v>100</v>
      </c>
      <c r="AR218" s="120"/>
    </row>
    <row r="219" spans="42:44" ht="12.75">
      <c r="AP219" s="32" t="s">
        <v>193</v>
      </c>
      <c r="AQ219" s="118">
        <v>300</v>
      </c>
      <c r="AR219" s="120"/>
    </row>
    <row r="220" spans="42:44" ht="12.75">
      <c r="AP220" s="32" t="s">
        <v>194</v>
      </c>
      <c r="AQ220" s="118">
        <v>10</v>
      </c>
      <c r="AR220" s="120"/>
    </row>
    <row r="221" spans="42:44" ht="12.75">
      <c r="AP221" s="32" t="s">
        <v>195</v>
      </c>
      <c r="AQ221" s="118">
        <v>30</v>
      </c>
      <c r="AR221" s="120"/>
    </row>
    <row r="222" spans="42:44" ht="12.75">
      <c r="AP222" s="32" t="s">
        <v>196</v>
      </c>
      <c r="AQ222" s="118" t="s">
        <v>182</v>
      </c>
      <c r="AR222" s="120"/>
    </row>
    <row r="223" spans="42:44" ht="12.75">
      <c r="AP223" s="32" t="s">
        <v>197</v>
      </c>
      <c r="AQ223" s="118">
        <v>100</v>
      </c>
      <c r="AR223" s="120"/>
    </row>
    <row r="224" spans="42:44" ht="12.75">
      <c r="AP224" s="32" t="s">
        <v>198</v>
      </c>
      <c r="AQ224" s="118">
        <v>10</v>
      </c>
      <c r="AR224" s="120"/>
    </row>
    <row r="225" spans="42:44" ht="12.75">
      <c r="AP225" s="32" t="s">
        <v>199</v>
      </c>
      <c r="AQ225" s="118">
        <v>30</v>
      </c>
      <c r="AR225" s="120"/>
    </row>
    <row r="226" spans="42:44" ht="12.75">
      <c r="AP226" s="32" t="s">
        <v>200</v>
      </c>
      <c r="AQ226" s="118">
        <v>50</v>
      </c>
      <c r="AR226" s="120"/>
    </row>
    <row r="227" spans="42:44" ht="12.75">
      <c r="AP227" s="32" t="s">
        <v>201</v>
      </c>
      <c r="AQ227" s="118">
        <v>5</v>
      </c>
      <c r="AR227" s="120"/>
    </row>
    <row r="228" spans="42:44" ht="12.75">
      <c r="AP228" s="32" t="s">
        <v>202</v>
      </c>
      <c r="AQ228" s="118">
        <v>50</v>
      </c>
      <c r="AR228" s="120"/>
    </row>
    <row r="229" spans="42:44" ht="12.75">
      <c r="AP229" s="32" t="s">
        <v>203</v>
      </c>
      <c r="AQ229" s="118">
        <v>50</v>
      </c>
      <c r="AR229" s="120"/>
    </row>
    <row r="230" spans="42:44" ht="12.75">
      <c r="AP230" s="32" t="s">
        <v>77</v>
      </c>
      <c r="AQ230" s="118">
        <v>100</v>
      </c>
      <c r="AR230" s="120"/>
    </row>
    <row r="231" spans="42:44" ht="12.75">
      <c r="AP231" s="32" t="s">
        <v>78</v>
      </c>
      <c r="AQ231" s="118">
        <v>5</v>
      </c>
      <c r="AR231" s="120"/>
    </row>
    <row r="232" spans="42:44" ht="12.75">
      <c r="AP232" s="32" t="s">
        <v>79</v>
      </c>
      <c r="AQ232" s="118">
        <v>30</v>
      </c>
      <c r="AR232" s="120"/>
    </row>
    <row r="233" spans="42:44" ht="12.75">
      <c r="AP233" s="32" t="s">
        <v>80</v>
      </c>
      <c r="AQ233" s="118">
        <v>100</v>
      </c>
      <c r="AR233" s="120"/>
    </row>
    <row r="234" spans="42:44" ht="12.75">
      <c r="AP234" s="32" t="s">
        <v>81</v>
      </c>
      <c r="AQ234" s="118">
        <v>10</v>
      </c>
      <c r="AR234" s="120"/>
    </row>
    <row r="235" spans="42:44" ht="12.75">
      <c r="AP235" s="32" t="s">
        <v>82</v>
      </c>
      <c r="AQ235" s="118">
        <v>30</v>
      </c>
      <c r="AR235" s="120"/>
    </row>
    <row r="236" spans="42:44" ht="12.75">
      <c r="AP236" s="32" t="s">
        <v>83</v>
      </c>
      <c r="AQ236" s="118">
        <v>50</v>
      </c>
      <c r="AR236" s="120"/>
    </row>
    <row r="237" spans="42:44" ht="12.75">
      <c r="AP237" s="32" t="s">
        <v>84</v>
      </c>
      <c r="AQ237" s="118">
        <v>100</v>
      </c>
      <c r="AR237" s="120"/>
    </row>
    <row r="238" spans="42:44" ht="12.75">
      <c r="AP238" s="32" t="s">
        <v>85</v>
      </c>
      <c r="AQ238" s="118">
        <v>30</v>
      </c>
      <c r="AR238" s="120"/>
    </row>
    <row r="239" spans="42:44" ht="12.75">
      <c r="AP239" s="32" t="s">
        <v>86</v>
      </c>
      <c r="AQ239" s="118" t="s">
        <v>181</v>
      </c>
      <c r="AR239" s="120"/>
    </row>
    <row r="240" spans="42:44" ht="12.75">
      <c r="AP240" s="32" t="s">
        <v>87</v>
      </c>
      <c r="AQ240" s="118">
        <v>5</v>
      </c>
      <c r="AR240" s="120"/>
    </row>
    <row r="241" spans="42:44" ht="12.75">
      <c r="AP241" s="32" t="s">
        <v>88</v>
      </c>
      <c r="AQ241" s="118">
        <v>10</v>
      </c>
      <c r="AR241" s="120"/>
    </row>
    <row r="242" spans="42:44" ht="12.75">
      <c r="AP242" s="32" t="s">
        <v>89</v>
      </c>
      <c r="AQ242" s="118">
        <v>30</v>
      </c>
      <c r="AR242" s="120"/>
    </row>
    <row r="243" spans="42:44" ht="12.75">
      <c r="AP243" s="32" t="s">
        <v>90</v>
      </c>
      <c r="AQ243" s="118">
        <v>5</v>
      </c>
      <c r="AR243" s="120"/>
    </row>
    <row r="244" spans="42:44" ht="12.75">
      <c r="AP244" s="32" t="s">
        <v>91</v>
      </c>
      <c r="AQ244" s="118">
        <v>10</v>
      </c>
      <c r="AR244" s="120"/>
    </row>
    <row r="245" spans="42:44" ht="12.75" customHeight="1">
      <c r="AP245" s="32" t="s">
        <v>92</v>
      </c>
      <c r="AQ245" s="118">
        <v>30</v>
      </c>
      <c r="AR245" s="120"/>
    </row>
    <row r="246" spans="42:44" ht="12.75">
      <c r="AP246" s="32" t="s">
        <v>93</v>
      </c>
      <c r="AQ246" s="118">
        <v>10</v>
      </c>
      <c r="AR246" s="120"/>
    </row>
    <row r="247" spans="42:44" ht="12.75">
      <c r="AP247" s="32" t="s">
        <v>94</v>
      </c>
      <c r="AQ247" s="118">
        <v>1.25</v>
      </c>
      <c r="AR247" s="120"/>
    </row>
    <row r="248" spans="42:44" ht="12.75">
      <c r="AP248" s="32" t="s">
        <v>95</v>
      </c>
      <c r="AQ248" s="118">
        <v>3.5</v>
      </c>
      <c r="AR248" s="120"/>
    </row>
    <row r="249" spans="42:44" ht="12.75">
      <c r="AP249" s="32" t="s">
        <v>96</v>
      </c>
      <c r="AQ249" s="119">
        <v>6.5</v>
      </c>
      <c r="AR249" s="121"/>
    </row>
    <row r="250" spans="42:44" ht="12.75">
      <c r="AP250" s="32" t="s">
        <v>97</v>
      </c>
      <c r="AQ250" s="118">
        <v>0.65</v>
      </c>
      <c r="AR250" s="120"/>
    </row>
    <row r="251" spans="42:44" ht="12.75">
      <c r="AP251" s="32" t="s">
        <v>98</v>
      </c>
      <c r="AQ251" s="118">
        <v>30</v>
      </c>
      <c r="AR251" s="120"/>
    </row>
    <row r="252" spans="42:44" ht="12.75">
      <c r="AP252" s="32" t="s">
        <v>99</v>
      </c>
      <c r="AQ252" s="118">
        <v>10</v>
      </c>
      <c r="AR252" s="120"/>
    </row>
    <row r="253" spans="42:44" ht="12.75">
      <c r="AP253" s="32" t="s">
        <v>100</v>
      </c>
      <c r="AQ253" s="118">
        <v>5</v>
      </c>
      <c r="AR253" s="120"/>
    </row>
    <row r="254" spans="42:44" ht="12.75">
      <c r="AP254" s="32" t="s">
        <v>101</v>
      </c>
      <c r="AQ254" s="118">
        <v>30</v>
      </c>
      <c r="AR254" s="120"/>
    </row>
    <row r="255" spans="42:44" ht="12.75">
      <c r="AP255" s="32" t="s">
        <v>102</v>
      </c>
      <c r="AQ255" s="118">
        <v>50</v>
      </c>
      <c r="AR255" s="120"/>
    </row>
    <row r="256" spans="42:44" ht="12.75">
      <c r="AP256" s="32" t="s">
        <v>103</v>
      </c>
      <c r="AQ256" s="118">
        <v>10</v>
      </c>
      <c r="AR256" s="120"/>
    </row>
    <row r="257" spans="42:44" ht="12.75">
      <c r="AP257" s="32" t="s">
        <v>104</v>
      </c>
      <c r="AQ257" s="118">
        <v>5</v>
      </c>
      <c r="AR257" s="120"/>
    </row>
    <row r="258" spans="42:44" ht="12.75">
      <c r="AP258" s="32" t="s">
        <v>105</v>
      </c>
      <c r="AQ258" s="118">
        <v>30</v>
      </c>
      <c r="AR258" s="120"/>
    </row>
    <row r="259" spans="42:44" ht="12.75">
      <c r="AP259" s="32" t="s">
        <v>106</v>
      </c>
      <c r="AQ259" s="118">
        <v>5</v>
      </c>
      <c r="AR259" s="120"/>
    </row>
    <row r="260" spans="42:44" ht="12.75">
      <c r="AP260" s="32" t="s">
        <v>107</v>
      </c>
      <c r="AQ260" s="118">
        <v>30</v>
      </c>
      <c r="AR260" s="120"/>
    </row>
    <row r="261" spans="42:44" ht="12.75">
      <c r="AP261" s="32" t="s">
        <v>108</v>
      </c>
      <c r="AQ261" s="118">
        <v>50</v>
      </c>
      <c r="AR261" s="120"/>
    </row>
    <row r="262" spans="42:44" ht="12.75">
      <c r="AP262" s="32" t="s">
        <v>109</v>
      </c>
      <c r="AQ262" s="118">
        <v>30</v>
      </c>
      <c r="AR262" s="120"/>
    </row>
    <row r="263" spans="42:44" ht="12.75">
      <c r="AP263" s="32" t="s">
        <v>110</v>
      </c>
      <c r="AQ263" s="118">
        <v>10</v>
      </c>
      <c r="AR263" s="120"/>
    </row>
    <row r="264" spans="42:44" ht="12.75">
      <c r="AP264" s="32" t="s">
        <v>111</v>
      </c>
      <c r="AQ264" s="118">
        <v>30</v>
      </c>
      <c r="AR264" s="120"/>
    </row>
    <row r="265" spans="42:44" ht="12.75">
      <c r="AP265" s="32" t="s">
        <v>112</v>
      </c>
      <c r="AQ265" s="118">
        <v>30</v>
      </c>
      <c r="AR265" s="120"/>
    </row>
    <row r="266" spans="42:44" ht="12.75">
      <c r="AP266" s="32" t="s">
        <v>113</v>
      </c>
      <c r="AQ266" s="118">
        <v>5</v>
      </c>
      <c r="AR266" s="120"/>
    </row>
    <row r="267" spans="42:44" ht="12.75">
      <c r="AP267" s="32" t="s">
        <v>114</v>
      </c>
      <c r="AQ267" s="118">
        <v>50</v>
      </c>
      <c r="AR267" s="120"/>
    </row>
    <row r="268" spans="42:44" ht="12.75">
      <c r="AP268" s="32" t="s">
        <v>115</v>
      </c>
      <c r="AQ268" s="118">
        <v>10</v>
      </c>
      <c r="AR268" s="120"/>
    </row>
    <row r="269" spans="42:44" ht="12.75">
      <c r="AP269" s="32" t="s">
        <v>116</v>
      </c>
      <c r="AQ269" s="118">
        <v>5</v>
      </c>
      <c r="AR269" s="120"/>
    </row>
    <row r="270" spans="42:44" ht="12.75">
      <c r="AP270" s="32" t="s">
        <v>117</v>
      </c>
      <c r="AQ270" s="118">
        <v>30</v>
      </c>
      <c r="AR270" s="120"/>
    </row>
    <row r="271" spans="42:44" ht="12.75">
      <c r="AP271" s="32" t="s">
        <v>118</v>
      </c>
      <c r="AQ271" s="118">
        <v>50</v>
      </c>
      <c r="AR271" s="120"/>
    </row>
    <row r="272" spans="42:44" ht="12.75">
      <c r="AP272" s="32" t="s">
        <v>119</v>
      </c>
      <c r="AQ272" s="118">
        <v>150</v>
      </c>
      <c r="AR272" s="120"/>
    </row>
    <row r="273" spans="42:44" ht="12.75">
      <c r="AP273" s="32" t="s">
        <v>120</v>
      </c>
      <c r="AQ273" s="118">
        <v>100</v>
      </c>
      <c r="AR273" s="120"/>
    </row>
    <row r="274" spans="42:44" ht="12.75">
      <c r="AP274" s="32" t="s">
        <v>121</v>
      </c>
      <c r="AQ274" s="118">
        <v>30</v>
      </c>
      <c r="AR274" s="120"/>
    </row>
    <row r="275" spans="42:44" ht="12.75">
      <c r="AP275" s="32" t="s">
        <v>122</v>
      </c>
      <c r="AQ275" s="118">
        <v>20</v>
      </c>
      <c r="AR275" s="120"/>
    </row>
    <row r="276" spans="42:44" ht="12.75">
      <c r="AP276" s="32" t="s">
        <v>123</v>
      </c>
      <c r="AQ276" s="118">
        <v>150</v>
      </c>
      <c r="AR276" s="120"/>
    </row>
    <row r="277" spans="42:44" ht="12.75">
      <c r="AP277" s="32" t="s">
        <v>124</v>
      </c>
      <c r="AQ277" s="118">
        <v>50</v>
      </c>
      <c r="AR277" s="120"/>
    </row>
    <row r="278" spans="42:44" ht="12.75">
      <c r="AP278" s="32" t="s">
        <v>125</v>
      </c>
      <c r="AQ278" s="118">
        <v>125</v>
      </c>
      <c r="AR278" s="120"/>
    </row>
    <row r="279" spans="42:44" ht="12.75">
      <c r="AP279" s="32" t="s">
        <v>126</v>
      </c>
      <c r="AQ279" s="118">
        <v>30</v>
      </c>
      <c r="AR279" s="120"/>
    </row>
  </sheetData>
  <sheetProtection password="D817" sheet="1" selectLockedCells="1"/>
  <dataValidations count="6">
    <dataValidation type="list" allowBlank="1" showInputMessage="1" showErrorMessage="1" prompt="Select from LSI fixture list by clicking the down arrow at right." sqref="E35 E24">
      <formula1>LSI_Models</formula1>
    </dataValidation>
    <dataValidation type="list" allowBlank="1" showInputMessage="1" showErrorMessage="1" prompt="Select from IESNA Detailed Application llist by clicking the down arrow at right." sqref="E48">
      <formula1>$AP$209:$AP$279</formula1>
    </dataValidation>
    <dataValidation type="decimal" operator="greaterThan" allowBlank="1" showInputMessage="1" showErrorMessage="1" prompt="Input rebate as a positive number." error="Rebate should be entered as a positive number." sqref="E29 E40">
      <formula1>0</formula1>
    </dataValidation>
    <dataValidation type="decimal" operator="greaterThan" allowBlank="1" showInputMessage="1" showErrorMessage="1" error="Entry must be greater than zero." sqref="E46 E41 E30 E36:E39 E16:E18 E25:E28">
      <formula1>0</formula1>
    </dataValidation>
    <dataValidation type="decimal" allowBlank="1" showInputMessage="1" showErrorMessage="1" error="Enter Cost per KWh in dollars (e.g. 0.093)" sqref="E19">
      <formula1>0</formula1>
      <formula2>1</formula2>
    </dataValidation>
    <dataValidation type="list" allowBlank="1" showInputMessage="1" showErrorMessage="1" prompt="Select from IESNA Building Category list by clicking the down arrow at right." sqref="E47">
      <formula1>$AP$110:$AP$133</formula1>
    </dataValidation>
  </dataValidations>
  <printOptions horizontalCentered="1"/>
  <pageMargins left="0.25" right="0.25" top="0.28" bottom="0.25" header="0.33" footer="0.47"/>
  <pageSetup fitToHeight="1" fitToWidth="1" horizontalDpi="300" verticalDpi="300" orientation="landscape" scale="77" r:id="rId2"/>
  <headerFooter alignWithMargins="0">
    <oddFooter>&amp;CPage 1 of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4"/>
  <sheetViews>
    <sheetView showGridLines="0" showRowColHeaders="0" zoomScalePageLayoutView="0" workbookViewId="0" topLeftCell="A1">
      <selection activeCell="A132" sqref="A132"/>
    </sheetView>
  </sheetViews>
  <sheetFormatPr defaultColWidth="8.8515625" defaultRowHeight="12.75"/>
  <cols>
    <col min="1" max="1" width="4.7109375" style="0" customWidth="1"/>
    <col min="2" max="2" width="17.28125" style="0" customWidth="1"/>
    <col min="3" max="3" width="10.140625" style="0" customWidth="1"/>
    <col min="4" max="4" width="10.7109375" style="0" customWidth="1"/>
    <col min="5" max="5" width="4.7109375" style="0" customWidth="1"/>
    <col min="6" max="8" width="8.8515625" style="0" customWidth="1"/>
    <col min="9" max="9" width="18.00390625" style="0" customWidth="1"/>
    <col min="10" max="10" width="8.8515625" style="0" customWidth="1"/>
    <col min="11" max="11" width="19.28125" style="0" bestFit="1" customWidth="1"/>
  </cols>
  <sheetData>
    <row r="2" ht="5.25" customHeight="1"/>
    <row r="3" ht="22.5" customHeight="1">
      <c r="E3" s="16" t="s">
        <v>44</v>
      </c>
    </row>
    <row r="4" ht="18.75">
      <c r="E4" s="65" t="s">
        <v>45</v>
      </c>
    </row>
    <row r="6" spans="1:9" ht="22.5" customHeight="1">
      <c r="A6" s="12" t="s">
        <v>230</v>
      </c>
      <c r="B6" s="12"/>
      <c r="C6" s="12"/>
      <c r="D6" s="12"/>
      <c r="E6" s="12"/>
      <c r="F6" s="12"/>
      <c r="G6" s="12"/>
      <c r="H6" s="12"/>
      <c r="I6" s="12"/>
    </row>
    <row r="7" spans="1:9" ht="23.25">
      <c r="A7" s="13">
        <f>IF('Input Sheet'!E5="","",'Input Sheet'!E5)</f>
      </c>
      <c r="B7" s="12"/>
      <c r="C7" s="12"/>
      <c r="D7" s="12"/>
      <c r="E7" s="12"/>
      <c r="F7" s="12"/>
      <c r="G7" s="12"/>
      <c r="H7" s="12"/>
      <c r="I7" s="12"/>
    </row>
    <row r="8" spans="1:9" s="15" customFormat="1" ht="18">
      <c r="A8" s="14">
        <f>IF('Input Sheet'!E7="","",'Input Sheet'!E7)</f>
      </c>
      <c r="B8" s="14"/>
      <c r="C8" s="14"/>
      <c r="D8" s="14"/>
      <c r="E8" s="14"/>
      <c r="F8" s="14"/>
      <c r="G8" s="14"/>
      <c r="H8" s="14"/>
      <c r="I8" s="14"/>
    </row>
    <row r="9" spans="1:9" s="15" customFormat="1" ht="18">
      <c r="A9" s="14">
        <f>IF('Input Sheet'!E8="","",'Input Sheet'!E8)</f>
      </c>
      <c r="B9" s="14"/>
      <c r="C9" s="14"/>
      <c r="D9" s="14"/>
      <c r="E9" s="14"/>
      <c r="F9" s="14"/>
      <c r="G9" s="14"/>
      <c r="H9" s="14"/>
      <c r="I9" s="14"/>
    </row>
    <row r="10" spans="1:9" s="15" customFormat="1" ht="18">
      <c r="A10" s="14">
        <f>IF('Input Sheet'!E9="","",'Input Sheet'!E9)</f>
      </c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17">
        <f>IF('Input Sheet'!E10="","",'Input Sheet'!E10)</f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8">
      <c r="A14" s="18">
        <f>IF('Input Sheet'!E11="","",'Input Sheet'!E11)</f>
      </c>
      <c r="B14" s="12"/>
      <c r="C14" s="12"/>
      <c r="D14" s="12"/>
      <c r="E14" s="12"/>
      <c r="F14" s="12"/>
      <c r="G14" s="12"/>
      <c r="H14" s="12"/>
      <c r="I14" s="12"/>
    </row>
    <row r="15" spans="1:9" ht="12.75" customHeight="1">
      <c r="A15" s="18"/>
      <c r="B15" s="12"/>
      <c r="C15" s="12"/>
      <c r="D15" s="12"/>
      <c r="E15" s="12"/>
      <c r="F15" s="12"/>
      <c r="G15" s="12"/>
      <c r="H15" s="12"/>
      <c r="I15" s="12"/>
    </row>
    <row r="16" spans="1:9" ht="12.75" customHeight="1">
      <c r="A16" s="18"/>
      <c r="B16" s="12"/>
      <c r="C16" s="12"/>
      <c r="D16" s="12"/>
      <c r="E16" s="12"/>
      <c r="F16" s="12"/>
      <c r="G16" s="12"/>
      <c r="H16" s="12"/>
      <c r="I16" s="12"/>
    </row>
    <row r="18" ht="12.75">
      <c r="A18" t="s">
        <v>132</v>
      </c>
    </row>
    <row r="19" ht="12.75">
      <c r="A19" t="s">
        <v>133</v>
      </c>
    </row>
    <row r="21" spans="2:3" ht="12.75">
      <c r="B21" s="11" t="s">
        <v>231</v>
      </c>
      <c r="C21" s="89" t="e">
        <f>'Input Sheet'!E24&amp;"   "&amp;VLOOKUP('Input Sheet'!E24,LSI_Prod_Specs,8,FALSE)</f>
        <v>#N/A</v>
      </c>
    </row>
    <row r="22" spans="2:3" ht="12.75">
      <c r="B22" s="11" t="s">
        <v>130</v>
      </c>
      <c r="C22" s="89" t="e">
        <f>'Input Sheet'!E35&amp;"   "&amp;VLOOKUP('Input Sheet'!E35,LSI_Prod_Specs,8,FALSE)</f>
        <v>#N/A</v>
      </c>
    </row>
    <row r="25" spans="7:8" ht="12.75">
      <c r="G25" s="19" t="str">
        <f>UPPER(LEFT(IF('Input Sheet'!E47="","",'Input Sheet'!E47),1))</f>
        <v>&lt;</v>
      </c>
      <c r="H25" s="19">
        <f>IF(OR(G25="A",G25="E",G25="I",G25="O",G25="U"),"n","")</f>
      </c>
    </row>
    <row r="26" ht="12.75">
      <c r="A26" t="str">
        <f>"The analysis uses a cost of energy of "&amp;DOLLAR('Input Sheet'!E19,3)&amp;" per KWh and assumes installation will be in a"&amp;H25</f>
        <v>The analysis uses a cost of energy of $0.000 per KWh and assumes installation will be in a</v>
      </c>
    </row>
    <row r="27" spans="1:11" ht="12.75">
      <c r="A27" t="str">
        <f>'Input Sheet'!E47&amp;" type facility."</f>
        <v>&lt;Click here to select building category&gt; type facility.</v>
      </c>
      <c r="K27" t="s">
        <v>51</v>
      </c>
    </row>
    <row r="28" spans="11:16" ht="12.75">
      <c r="K28" s="71"/>
      <c r="L28" s="72"/>
      <c r="M28" s="72"/>
      <c r="N28" s="72"/>
      <c r="O28" s="72"/>
      <c r="P28" s="73"/>
    </row>
    <row r="29" spans="11:16" ht="12.75">
      <c r="K29" s="82" t="s">
        <v>147</v>
      </c>
      <c r="L29" s="83" t="s">
        <v>148</v>
      </c>
      <c r="M29" s="37"/>
      <c r="N29" s="37"/>
      <c r="O29" s="37"/>
      <c r="P29" s="75"/>
    </row>
    <row r="30" spans="11:16" ht="12.75">
      <c r="K30" s="74" t="s">
        <v>211</v>
      </c>
      <c r="L30" s="76" t="e">
        <f>'Energy Savings Analysis'!C18</f>
        <v>#N/A</v>
      </c>
      <c r="M30" s="37"/>
      <c r="N30" s="37"/>
      <c r="O30" s="37"/>
      <c r="P30" s="75"/>
    </row>
    <row r="31" spans="11:16" ht="12.75">
      <c r="K31" s="74" t="s">
        <v>224</v>
      </c>
      <c r="L31" s="76" t="e">
        <f>'Energy Savings Analysis'!D18</f>
        <v>#N/A</v>
      </c>
      <c r="M31" s="37"/>
      <c r="N31" s="37"/>
      <c r="O31" s="37"/>
      <c r="P31" s="75"/>
    </row>
    <row r="32" spans="11:16" ht="12.75">
      <c r="K32" s="74" t="s">
        <v>226</v>
      </c>
      <c r="L32" s="76" t="e">
        <f>'Energy Savings Analysis'!F18</f>
        <v>#N/A</v>
      </c>
      <c r="M32" s="37"/>
      <c r="N32" s="37"/>
      <c r="O32" s="37"/>
      <c r="P32" s="75"/>
    </row>
    <row r="33" spans="11:16" ht="12.75">
      <c r="K33" s="74"/>
      <c r="L33" s="37"/>
      <c r="M33" s="37"/>
      <c r="N33" s="84" t="s">
        <v>50</v>
      </c>
      <c r="O33" s="37"/>
      <c r="P33" s="75"/>
    </row>
    <row r="34" spans="11:16" ht="12.75">
      <c r="K34" s="82" t="s">
        <v>147</v>
      </c>
      <c r="L34" s="85">
        <v>1</v>
      </c>
      <c r="M34" s="85">
        <v>2</v>
      </c>
      <c r="N34" s="85">
        <v>3</v>
      </c>
      <c r="O34" s="85">
        <v>4</v>
      </c>
      <c r="P34" s="86">
        <v>5</v>
      </c>
    </row>
    <row r="35" spans="11:16" ht="12.75">
      <c r="K35" s="74" t="s">
        <v>224</v>
      </c>
      <c r="L35" s="80" t="e">
        <f>'Energy Savings Analysis'!$C$22*L34</f>
        <v>#N/A</v>
      </c>
      <c r="M35" s="80" t="e">
        <f>'Energy Savings Analysis'!$C$22*M34</f>
        <v>#N/A</v>
      </c>
      <c r="N35" s="80" t="e">
        <f>'Energy Savings Analysis'!$C$22*N34</f>
        <v>#N/A</v>
      </c>
      <c r="O35" s="80" t="e">
        <f>'Energy Savings Analysis'!$C$22*O34</f>
        <v>#N/A</v>
      </c>
      <c r="P35" s="81" t="e">
        <f>'Energy Savings Analysis'!$C$22*P34</f>
        <v>#N/A</v>
      </c>
    </row>
    <row r="36" spans="11:16" ht="12.75">
      <c r="K36" s="74" t="s">
        <v>226</v>
      </c>
      <c r="L36" s="80" t="e">
        <f>'Energy Savings Analysis'!$D$25*L34</f>
        <v>#N/A</v>
      </c>
      <c r="M36" s="80" t="e">
        <f>'Energy Savings Analysis'!$D$25*M34</f>
        <v>#N/A</v>
      </c>
      <c r="N36" s="80" t="e">
        <f>'Energy Savings Analysis'!$D$25*N34</f>
        <v>#N/A</v>
      </c>
      <c r="O36" s="80" t="e">
        <f>'Energy Savings Analysis'!$D$25*O34</f>
        <v>#N/A</v>
      </c>
      <c r="P36" s="81" t="e">
        <f>'Energy Savings Analysis'!$D$25*P34</f>
        <v>#N/A</v>
      </c>
    </row>
    <row r="37" spans="11:16" ht="12.75">
      <c r="K37" s="77"/>
      <c r="L37" s="78"/>
      <c r="M37" s="78"/>
      <c r="N37" s="78"/>
      <c r="O37" s="78"/>
      <c r="P37" s="79"/>
    </row>
    <row r="40" ht="6.75" customHeight="1"/>
    <row r="41" spans="1:6" ht="15.75">
      <c r="A41" s="99" t="s">
        <v>38</v>
      </c>
      <c r="B41" s="12"/>
      <c r="C41" s="12"/>
      <c r="D41" s="12"/>
      <c r="E41" s="12"/>
      <c r="F41" s="55"/>
    </row>
    <row r="42" spans="1:6" ht="22.5" customHeight="1">
      <c r="A42" s="100" t="s">
        <v>40</v>
      </c>
      <c r="B42" s="52"/>
      <c r="C42" s="52"/>
      <c r="D42" s="52"/>
      <c r="E42" s="52"/>
      <c r="F42" s="51" t="s">
        <v>224</v>
      </c>
    </row>
    <row r="43" spans="2:6" ht="12.75">
      <c r="B43" s="11"/>
      <c r="C43" s="87" t="s">
        <v>36</v>
      </c>
      <c r="D43" s="87" t="s">
        <v>37</v>
      </c>
      <c r="F43" s="48" t="str">
        <f>'Tax Deduction Analysis'!B27</f>
        <v>Potential estimated tax deduction by implementing alternative #1:</v>
      </c>
    </row>
    <row r="44" spans="2:6" ht="15.75">
      <c r="B44" s="11" t="s">
        <v>33</v>
      </c>
      <c r="C44" s="88" t="e">
        <f>2.39*(L30-L31)</f>
        <v>#N/A</v>
      </c>
      <c r="D44" s="88" t="e">
        <f>2.39*(L30-L32)</f>
        <v>#N/A</v>
      </c>
      <c r="F44" s="48" t="e">
        <f>'Tax Deduction Analysis'!B26</f>
        <v>#N/A</v>
      </c>
    </row>
    <row r="45" spans="2:12" ht="15.75">
      <c r="B45" s="11" t="s">
        <v>34</v>
      </c>
      <c r="C45" s="88" t="e">
        <f>0.0198*(L30-L31)</f>
        <v>#N/A</v>
      </c>
      <c r="D45" s="88" t="e">
        <f>0.0198*(L30-L32)</f>
        <v>#N/A</v>
      </c>
      <c r="H45" s="53" t="e">
        <f>'Tax Deduction Analysis'!H27</f>
        <v>#N/A</v>
      </c>
      <c r="L45" s="48"/>
    </row>
    <row r="46" spans="2:6" ht="15.75">
      <c r="B46" s="11" t="s">
        <v>35</v>
      </c>
      <c r="C46" s="88" t="e">
        <f>0.00969*(L30-L31)</f>
        <v>#N/A</v>
      </c>
      <c r="D46" s="88" t="e">
        <f>0.00969*(L30-L32)</f>
        <v>#N/A</v>
      </c>
      <c r="F46" s="51" t="s">
        <v>226</v>
      </c>
    </row>
    <row r="47" ht="12.75">
      <c r="F47" s="48" t="str">
        <f>'Tax Deduction Analysis'!B43</f>
        <v>Potential estimated tax deduction by implementing alternative #2:</v>
      </c>
    </row>
    <row r="48" spans="1:6" ht="12.75">
      <c r="A48" s="49" t="s">
        <v>55</v>
      </c>
      <c r="B48" s="49"/>
      <c r="C48" s="49"/>
      <c r="D48" s="49"/>
      <c r="E48" s="49"/>
      <c r="F48" s="48">
        <f>'Tax Deduction Analysis'!B42</f>
      </c>
    </row>
    <row r="49" ht="12.75">
      <c r="H49" s="53" t="e">
        <f>'Tax Deduction Analysis'!H43</f>
        <v>#N/A</v>
      </c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 t="s">
        <v>21</v>
      </c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 t="s">
        <v>22</v>
      </c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 t="s">
        <v>46</v>
      </c>
      <c r="B54" s="12"/>
      <c r="C54" s="12"/>
      <c r="D54" s="12"/>
      <c r="E54" s="12"/>
      <c r="F54" s="12"/>
      <c r="G54" s="12"/>
      <c r="H54" s="12"/>
      <c r="I54" s="12"/>
    </row>
  </sheetData>
  <sheetProtection password="D817" sheet="1" objects="1" scenarios="1" selectLockedCells="1"/>
  <printOptions/>
  <pageMargins left="0.75" right="0.69" top="0.28" bottom="0.61" header="0.24" footer="0.47"/>
  <pageSetup fitToHeight="1" fitToWidth="1" orientation="portrait" scale="98"/>
  <headerFooter alignWithMargins="0">
    <oddFooter>&amp;CPage 2 of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showGridLines="0" showRowColHeaders="0" zoomScalePageLayoutView="0" workbookViewId="0" topLeftCell="A1">
      <selection activeCell="A125" sqref="A125"/>
    </sheetView>
  </sheetViews>
  <sheetFormatPr defaultColWidth="8.8515625" defaultRowHeight="12.75"/>
  <cols>
    <col min="1" max="1" width="8.8515625" style="0" customWidth="1"/>
    <col min="2" max="2" width="17.00390625" style="0" customWidth="1"/>
    <col min="3" max="3" width="24.7109375" style="0" customWidth="1"/>
    <col min="4" max="4" width="15.7109375" style="0" customWidth="1"/>
    <col min="5" max="5" width="9.7109375" style="0" customWidth="1"/>
    <col min="6" max="6" width="15.7109375" style="0" customWidth="1"/>
    <col min="7" max="7" width="9.7109375" style="0" customWidth="1"/>
    <col min="8" max="27" width="8.8515625" style="0" customWidth="1"/>
    <col min="28" max="30" width="10.7109375" style="0" bestFit="1" customWidth="1"/>
    <col min="31" max="32" width="11.7109375" style="0" bestFit="1" customWidth="1"/>
  </cols>
  <sheetData>
    <row r="1" ht="55.5" customHeight="1">
      <c r="C1" s="69" t="s">
        <v>26</v>
      </c>
    </row>
    <row r="2" spans="1:7" ht="60.75" customHeight="1">
      <c r="A2" s="13">
        <f>IF('Input Sheet'!E5="","",'Input Sheet'!E5)</f>
      </c>
      <c r="B2" s="12"/>
      <c r="C2" s="12"/>
      <c r="D2" s="12"/>
      <c r="E2" s="12"/>
      <c r="F2" s="12"/>
      <c r="G2" s="12"/>
    </row>
    <row r="3" spans="1:7" ht="18" customHeight="1">
      <c r="A3" s="14">
        <f>IF('Input Sheet'!E7="","",'Input Sheet'!E7)</f>
      </c>
      <c r="B3" s="12"/>
      <c r="C3" s="12"/>
      <c r="D3" s="12"/>
      <c r="E3" s="12"/>
      <c r="F3" s="12"/>
      <c r="G3" s="12"/>
    </row>
    <row r="4" spans="1:7" ht="18" customHeight="1">
      <c r="A4" s="14">
        <f>IF('Input Sheet'!E8="","",'Input Sheet'!E8)</f>
      </c>
      <c r="B4" s="12"/>
      <c r="C4" s="12"/>
      <c r="D4" s="12"/>
      <c r="E4" s="12"/>
      <c r="F4" s="12"/>
      <c r="G4" s="12"/>
    </row>
    <row r="5" spans="1:7" ht="18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>
        <f>IF('Input Sheet'!E10="","",'Input Sheet'!E10)</f>
      </c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18" customHeight="1">
      <c r="A8" s="18">
        <f>IF('Input Sheet'!E11="","",'Input Sheet'!E11)</f>
      </c>
      <c r="B8" s="12"/>
      <c r="C8" s="12"/>
      <c r="D8" s="12"/>
      <c r="E8" s="12"/>
      <c r="F8" s="12"/>
      <c r="G8" s="12"/>
    </row>
    <row r="10" spans="3:7" ht="12.75">
      <c r="C10" s="66" t="s">
        <v>204</v>
      </c>
      <c r="D10" s="104" t="s">
        <v>138</v>
      </c>
      <c r="E10" s="104"/>
      <c r="F10" s="104" t="s">
        <v>139</v>
      </c>
      <c r="G10" s="12"/>
    </row>
    <row r="11" spans="2:7" s="21" customFormat="1" ht="27" customHeight="1">
      <c r="B11" s="3" t="s">
        <v>134</v>
      </c>
      <c r="C11" s="23">
        <f>IF('Input Sheet'!E15="","",'Input Sheet'!E15)</f>
      </c>
      <c r="D11" s="105" t="str">
        <f>IF('Input Sheet'!E24="","",'Input Sheet'!E24)</f>
        <v>&lt;Click here to select LSI fixture&gt;</v>
      </c>
      <c r="E11" s="105"/>
      <c r="F11" s="105" t="str">
        <f>IF('Input Sheet'!E35="","",'Input Sheet'!E35)</f>
        <v>&lt;Click here to select LSI fixture&gt;</v>
      </c>
      <c r="G11" s="31"/>
    </row>
    <row r="12" spans="2:7" ht="18" customHeight="1">
      <c r="B12" s="3"/>
      <c r="D12" s="104" t="e">
        <f>VLOOKUP(D11,LSI_Prod_Specs,8,FALSE)</f>
        <v>#N/A</v>
      </c>
      <c r="E12" s="104"/>
      <c r="F12" s="104" t="e">
        <f>VLOOKUP(F11,LSI_Prod_Specs,8,FALSE)</f>
        <v>#N/A</v>
      </c>
      <c r="G12" s="12"/>
    </row>
    <row r="13" spans="2:7" ht="18" customHeight="1">
      <c r="B13" s="3" t="s">
        <v>135</v>
      </c>
      <c r="C13" s="1">
        <f>IF('Input Sheet'!E16="","",'Input Sheet'!E16)</f>
      </c>
      <c r="D13" s="12" t="e">
        <f>VLOOKUP(D11,LSI_Prod_Specs,4,FALSE)</f>
        <v>#N/A</v>
      </c>
      <c r="E13" s="12"/>
      <c r="F13" s="12" t="e">
        <f>VLOOKUP(F11,LSI_Prod_Specs,4,FALSE)</f>
        <v>#N/A</v>
      </c>
      <c r="G13" s="12"/>
    </row>
    <row r="14" spans="2:7" ht="18" customHeight="1">
      <c r="B14" s="3" t="s">
        <v>222</v>
      </c>
      <c r="C14" s="1">
        <f>IF('Input Sheet'!E17="","",'Input Sheet'!E17)</f>
      </c>
      <c r="D14" s="12">
        <f>IF('Input Sheet'!E17="","",'Input Sheet'!E17)</f>
      </c>
      <c r="E14" s="12"/>
      <c r="F14" s="12">
        <f>IF('Input Sheet'!E17="","",'Input Sheet'!E17)</f>
      </c>
      <c r="G14" s="12"/>
    </row>
    <row r="15" spans="2:7" ht="18" customHeight="1">
      <c r="B15" s="3" t="s">
        <v>221</v>
      </c>
      <c r="C15" s="1">
        <f>IF('Input Sheet'!E18="","",'Input Sheet'!E18)</f>
      </c>
      <c r="D15" s="12">
        <f>IF('Input Sheet'!E30="","",'Input Sheet'!E30)</f>
      </c>
      <c r="E15" s="12"/>
      <c r="F15" s="12">
        <f>IF('Input Sheet'!E41="","",'Input Sheet'!E41)</f>
      </c>
      <c r="G15" s="12"/>
    </row>
    <row r="16" spans="2:7" ht="18" customHeight="1">
      <c r="B16" s="3" t="s">
        <v>142</v>
      </c>
      <c r="C16" s="20">
        <f>IF('Input Sheet'!E19="","",'Input Sheet'!E19)</f>
      </c>
      <c r="D16" s="106">
        <f>IF('Input Sheet'!E19="","",'Input Sheet'!E19)</f>
      </c>
      <c r="E16" s="106"/>
      <c r="F16" s="106">
        <f>IF('Input Sheet'!E19="","",'Input Sheet'!E19)</f>
      </c>
      <c r="G16" s="12"/>
    </row>
    <row r="17" spans="2:7" ht="18" customHeight="1">
      <c r="B17" s="3" t="s">
        <v>136</v>
      </c>
      <c r="C17" s="26" t="e">
        <f>IF(OR(C13="",C14="",C15=""),NA(),C13/1000*C14*C16)</f>
        <v>#N/A</v>
      </c>
      <c r="D17" s="107" t="e">
        <f>IF(OR(D11="",D13="",D14="",D15=""),NA(),D13/1000*D14*D16)</f>
        <v>#N/A</v>
      </c>
      <c r="E17" s="107"/>
      <c r="F17" s="107" t="e">
        <f>IF(OR(F11="",F13="",F14="",F15=""),NA(),F13/1000*F14*F16)</f>
        <v>#N/A</v>
      </c>
      <c r="G17" s="12"/>
    </row>
    <row r="18" spans="2:7" ht="18" customHeight="1">
      <c r="B18" s="3" t="s">
        <v>137</v>
      </c>
      <c r="C18" s="27" t="e">
        <f>IF(OR(,C13="",C14="",C15=""),NA(),C13/1000*C14*C15)</f>
        <v>#N/A</v>
      </c>
      <c r="D18" s="108" t="e">
        <f>IF(OR(D11="",D13="",D14="",D15=""),NA(),D13/1000*D14*D15)</f>
        <v>#N/A</v>
      </c>
      <c r="E18" s="108"/>
      <c r="F18" s="108" t="e">
        <f>IF(OR(F11="",F13="",F14="",F15=""),NA(),F13/1000*F14*F15)</f>
        <v>#N/A</v>
      </c>
      <c r="G18" s="12"/>
    </row>
    <row r="19" spans="2:7" ht="18" customHeight="1">
      <c r="B19" s="3" t="s">
        <v>143</v>
      </c>
      <c r="C19" s="26" t="e">
        <f>C18*C16</f>
        <v>#N/A</v>
      </c>
      <c r="D19" s="107" t="e">
        <f>D18*D16</f>
        <v>#N/A</v>
      </c>
      <c r="E19" s="107"/>
      <c r="F19" s="107" t="e">
        <f>F18*F16</f>
        <v>#N/A</v>
      </c>
      <c r="G19" s="12"/>
    </row>
    <row r="20" spans="2:5" ht="18" customHeight="1">
      <c r="B20" s="7"/>
      <c r="D20" s="12"/>
      <c r="E20" s="12"/>
    </row>
    <row r="21" spans="2:5" ht="18" customHeight="1">
      <c r="B21" s="7"/>
      <c r="D21" s="12"/>
      <c r="E21" s="12"/>
    </row>
    <row r="22" spans="2:5" ht="18" customHeight="1">
      <c r="B22" s="3" t="s">
        <v>144</v>
      </c>
      <c r="C22" s="67" t="e">
        <f>C19-D19</f>
        <v>#N/A</v>
      </c>
      <c r="D22" s="12"/>
      <c r="E22" s="12"/>
    </row>
    <row r="23" spans="2:5" ht="12.75" customHeight="1">
      <c r="B23" s="3" t="s">
        <v>145</v>
      </c>
      <c r="C23" s="68" t="e">
        <f>(C19-D19)/C19</f>
        <v>#N/A</v>
      </c>
      <c r="D23" s="12"/>
      <c r="E23" s="12"/>
    </row>
    <row r="24" spans="2:5" ht="18" customHeight="1">
      <c r="B24" s="7"/>
      <c r="D24" s="12"/>
      <c r="E24" s="12"/>
    </row>
    <row r="25" spans="2:5" ht="18" customHeight="1">
      <c r="B25" s="3" t="s">
        <v>144</v>
      </c>
      <c r="D25" s="67" t="e">
        <f>C19-F19</f>
        <v>#N/A</v>
      </c>
      <c r="E25" s="67"/>
    </row>
    <row r="26" spans="2:5" ht="12.75" customHeight="1">
      <c r="B26" s="3" t="s">
        <v>146</v>
      </c>
      <c r="D26" s="68" t="e">
        <f>(C19-F19)/C19</f>
        <v>#N/A</v>
      </c>
      <c r="E26" s="68"/>
    </row>
    <row r="29" ht="22.5" customHeight="1">
      <c r="B29" s="111" t="s">
        <v>71</v>
      </c>
    </row>
    <row r="30" spans="2:6" ht="12.75">
      <c r="B30" s="3" t="s">
        <v>61</v>
      </c>
      <c r="C30" s="101" t="s">
        <v>66</v>
      </c>
      <c r="D30" s="112" t="e">
        <f>D15*'Input Sheet'!E25</f>
        <v>#VALUE!</v>
      </c>
      <c r="E30" s="103"/>
      <c r="F30" s="112" t="e">
        <f>F15*'Input Sheet'!E36</f>
        <v>#VALUE!</v>
      </c>
    </row>
    <row r="31" spans="2:6" ht="12.75">
      <c r="B31" s="3" t="s">
        <v>62</v>
      </c>
      <c r="C31" s="101" t="s">
        <v>66</v>
      </c>
      <c r="D31" s="112" t="e">
        <f>D15*VLOOKUP(D11,LSI_Product_Table,5,FALSE)*'Input Sheet'!E26</f>
        <v>#VALUE!</v>
      </c>
      <c r="E31" s="103"/>
      <c r="F31" s="112" t="e">
        <f>F15*VLOOKUP(F11,LSI_Product_Table,5,FALSE)*'Input Sheet'!E37</f>
        <v>#VALUE!</v>
      </c>
    </row>
    <row r="32" spans="2:6" ht="12.75">
      <c r="B32" s="3" t="s">
        <v>63</v>
      </c>
      <c r="C32" s="101" t="s">
        <v>66</v>
      </c>
      <c r="D32" s="112" t="e">
        <f>D15*'Input Sheet'!E27</f>
        <v>#VALUE!</v>
      </c>
      <c r="E32" s="103"/>
      <c r="F32" s="112" t="e">
        <f>F15*'Input Sheet'!E38</f>
        <v>#VALUE!</v>
      </c>
    </row>
    <row r="33" spans="2:6" ht="12.75">
      <c r="B33" s="3" t="s">
        <v>64</v>
      </c>
      <c r="C33" s="101" t="s">
        <v>66</v>
      </c>
      <c r="D33" s="112" t="e">
        <f>D15*'Input Sheet'!E28</f>
        <v>#VALUE!</v>
      </c>
      <c r="E33" s="103"/>
      <c r="F33" s="112" t="e">
        <f>F15*'Input Sheet'!E39</f>
        <v>#VALUE!</v>
      </c>
    </row>
    <row r="34" spans="2:6" ht="12.75">
      <c r="B34" s="3" t="s">
        <v>65</v>
      </c>
      <c r="C34" s="101" t="s">
        <v>66</v>
      </c>
      <c r="D34" s="112" t="e">
        <f>-D15*'Input Sheet'!E29</f>
        <v>#VALUE!</v>
      </c>
      <c r="E34" s="103"/>
      <c r="F34" s="112" t="e">
        <f>-F15*'Input Sheet'!E40</f>
        <v>#VALUE!</v>
      </c>
    </row>
    <row r="35" spans="2:6" ht="12.75">
      <c r="B35" s="3" t="s">
        <v>67</v>
      </c>
      <c r="D35" s="113" t="e">
        <f>SUM(D30:D34)</f>
        <v>#VALUE!</v>
      </c>
      <c r="E35" s="102"/>
      <c r="F35" s="113" t="e">
        <f>SUM(F30:F34)</f>
        <v>#VALUE!</v>
      </c>
    </row>
    <row r="37" spans="2:7" ht="25.5" customHeight="1">
      <c r="B37" s="110" t="s">
        <v>68</v>
      </c>
      <c r="D37" s="115" t="e">
        <f>IF(C22=0,"n/a",D35/C22)</f>
        <v>#N/A</v>
      </c>
      <c r="E37" s="6" t="s">
        <v>69</v>
      </c>
      <c r="F37" s="115" t="e">
        <f>IF(D25=0,"n/a",F35/D25)</f>
        <v>#N/A</v>
      </c>
      <c r="G37" s="6" t="s">
        <v>69</v>
      </c>
    </row>
    <row r="38" spans="2:32" ht="24" customHeight="1">
      <c r="B38" s="110" t="s">
        <v>70</v>
      </c>
      <c r="D38" s="109" t="e">
        <f>IF(OR(D35&lt;=0,C22=0),"n/a",(5*C22-D35)/D35)</f>
        <v>#VALUE!</v>
      </c>
      <c r="E38" s="6"/>
      <c r="F38" s="109" t="e">
        <f>IF(OR(F35&lt;=0,D25=0),"n/a",(5*D25-F35)/F35)</f>
        <v>#VALUE!</v>
      </c>
      <c r="G38" s="6"/>
      <c r="AA38" s="102"/>
      <c r="AB38" s="102"/>
      <c r="AC38" s="102"/>
      <c r="AD38" s="102"/>
      <c r="AE38" s="102"/>
      <c r="AF38" s="102"/>
    </row>
    <row r="39" spans="4:32" ht="12.75">
      <c r="D39" s="11"/>
      <c r="AA39" s="102"/>
      <c r="AB39" s="102"/>
      <c r="AC39" s="102"/>
      <c r="AD39" s="102"/>
      <c r="AE39" s="102"/>
      <c r="AF39" s="102"/>
    </row>
    <row r="41" spans="1:7" ht="12.75">
      <c r="A41" s="12" t="s">
        <v>48</v>
      </c>
      <c r="B41" s="12"/>
      <c r="C41" s="12"/>
      <c r="D41" s="12"/>
      <c r="E41" s="12"/>
      <c r="F41" s="12"/>
      <c r="G41" s="12"/>
    </row>
    <row r="42" spans="1:7" ht="12.75">
      <c r="A42" s="12" t="s">
        <v>47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 t="s">
        <v>21</v>
      </c>
      <c r="B44" s="12"/>
      <c r="C44" s="12"/>
      <c r="D44" s="12"/>
      <c r="E44" s="12"/>
      <c r="F44" s="12"/>
      <c r="G44" s="12"/>
    </row>
    <row r="45" spans="1:7" ht="12.75">
      <c r="A45" s="12" t="s">
        <v>22</v>
      </c>
      <c r="B45" s="12"/>
      <c r="C45" s="12"/>
      <c r="D45" s="12"/>
      <c r="E45" s="12"/>
      <c r="F45" s="12"/>
      <c r="G45" s="12"/>
    </row>
    <row r="46" spans="1:7" ht="12.75">
      <c r="A46" s="12" t="s">
        <v>46</v>
      </c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</sheetData>
  <sheetProtection password="D817" sheet="1" objects="1" scenarios="1" selectLockedCells="1"/>
  <printOptions horizontalCentered="1"/>
  <pageMargins left="0.75" right="0.75" top="0.52" bottom="0.53" header="0.51" footer="0.5"/>
  <pageSetup fitToHeight="1" fitToWidth="1" orientation="portrait" scale="89"/>
  <headerFooter alignWithMargins="0">
    <oddFooter>&amp;CPage 3 of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showRowColHeaders="0" zoomScalePageLayoutView="0" workbookViewId="0" topLeftCell="A1">
      <selection activeCell="B111" sqref="B111"/>
    </sheetView>
  </sheetViews>
  <sheetFormatPr defaultColWidth="8.8515625" defaultRowHeight="12.75"/>
  <cols>
    <col min="1" max="1" width="6.8515625" style="0" customWidth="1"/>
    <col min="2" max="2" width="11.00390625" style="0" bestFit="1" customWidth="1"/>
    <col min="3" max="6" width="8.8515625" style="0" customWidth="1"/>
    <col min="7" max="7" width="10.421875" style="0" customWidth="1"/>
    <col min="8" max="8" width="8.28125" style="0" customWidth="1"/>
    <col min="9" max="9" width="11.421875" style="0" customWidth="1"/>
    <col min="10" max="10" width="7.421875" style="0" customWidth="1"/>
  </cols>
  <sheetData>
    <row r="1" ht="54" customHeight="1">
      <c r="E1" s="16" t="s">
        <v>49</v>
      </c>
    </row>
    <row r="2" ht="16.5" customHeight="1">
      <c r="E2" s="70" t="s">
        <v>52</v>
      </c>
    </row>
    <row r="3" spans="1:10" ht="36.75" customHeight="1">
      <c r="A3" s="13">
        <f>IF('Input Sheet'!E5="","",'Input Sheet'!E5)</f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4">
        <f>IF('Input Sheet'!E7="","",'Input Sheet'!E7)</f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8">
      <c r="A5" s="30">
        <f>IF('Input Sheet'!E8="","",'Input Sheet'!E8)</f>
      </c>
      <c r="B5" s="31"/>
      <c r="C5" s="31"/>
      <c r="D5" s="31"/>
      <c r="E5" s="31"/>
      <c r="F5" s="31"/>
      <c r="G5" s="31"/>
      <c r="H5" s="31"/>
      <c r="I5" s="31"/>
      <c r="J5" s="12"/>
    </row>
    <row r="6" spans="1:10" ht="18">
      <c r="A6" s="14">
        <f>IF('Input Sheet'!E9="","",'Input Sheet'!E9)</f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>
      <c r="A7" s="17">
        <f>IF('Input Sheet'!E10="","",'Input Sheet'!E10)</f>
      </c>
      <c r="B7" s="12"/>
      <c r="C7" s="12"/>
      <c r="D7" s="12"/>
      <c r="E7" s="12"/>
      <c r="F7" s="12"/>
      <c r="G7" s="12"/>
      <c r="H7" s="12"/>
      <c r="I7" s="12"/>
      <c r="J7" s="12"/>
    </row>
    <row r="8" ht="12.75">
      <c r="A8" s="12"/>
    </row>
    <row r="9" spans="1:10" ht="18">
      <c r="A9" s="18">
        <f>IF('Input Sheet'!E11="","",'Input Sheet'!E11)</f>
      </c>
      <c r="B9" s="12"/>
      <c r="C9" s="12"/>
      <c r="D9" s="12"/>
      <c r="E9" s="12"/>
      <c r="F9" s="12"/>
      <c r="G9" s="12"/>
      <c r="H9" s="12"/>
      <c r="I9" s="12"/>
      <c r="J9" s="12"/>
    </row>
    <row r="11" spans="2:9" ht="12.75">
      <c r="B11" s="4" t="str">
        <f>"ASHRAE/ IESNA 90.1 (2001) building limit for category """&amp;'Input Sheet'!E47&amp;""":  "</f>
        <v>ASHRAE/ IESNA 90.1 (2001) building limit for category "&lt;Click here to select building category&gt;":  </v>
      </c>
      <c r="H11" t="e">
        <f>VLOOKUP('Input Sheet'!E47,IESNA_Watt_Limit,2,FALSE)</f>
        <v>#N/A</v>
      </c>
      <c r="I11" t="s">
        <v>175</v>
      </c>
    </row>
    <row r="12" spans="2:9" ht="12.75">
      <c r="B12" s="4" t="str">
        <f>"To qualify for Tax Deduction, proposed w/sq. ft. must be less than:  "</f>
        <v>To qualify for Tax Deduction, proposed w/sq. ft. must be less than:  </v>
      </c>
      <c r="H12" t="e">
        <f>IF('Input Sheet'!E47="Warehouse",0.5*'Tax Deduction Analysis'!H11,0.75*'Tax Deduction Analysis'!H11)</f>
        <v>#N/A</v>
      </c>
      <c r="I12" t="s">
        <v>175</v>
      </c>
    </row>
    <row r="13" ht="12.75">
      <c r="B13" s="4"/>
    </row>
    <row r="14" spans="2:5" ht="15.75">
      <c r="B14" s="6" t="s">
        <v>53</v>
      </c>
      <c r="E14" s="56" t="e">
        <f>'Input Sheet'!E24&amp;"   "&amp;VLOOKUP('Input Sheet'!E24,LSI_Prod_Specs,8,FALSE)</f>
        <v>#N/A</v>
      </c>
    </row>
    <row r="15" spans="2:9" ht="12.75" customHeight="1">
      <c r="B15" s="42" t="str">
        <f>"Based on the facility's square footage and number of fixtures,"</f>
        <v>Based on the facility's square footage and number of fixtures,</v>
      </c>
      <c r="C15" s="34"/>
      <c r="D15" s="34"/>
      <c r="E15" s="34"/>
      <c r="F15" s="34"/>
      <c r="G15" s="34"/>
      <c r="H15" s="34"/>
      <c r="I15" s="35"/>
    </row>
    <row r="16" spans="2:9" ht="12.75">
      <c r="B16" s="43" t="str">
        <f>"to qualify for a deduction the fixture wattage must be less than:  "</f>
        <v>to qualify for a deduction the fixture wattage must be less than:  </v>
      </c>
      <c r="C16" s="37"/>
      <c r="D16" s="37"/>
      <c r="E16" s="37"/>
      <c r="F16" s="37"/>
      <c r="G16" s="37"/>
      <c r="H16" s="90" t="e">
        <f>H12*'Input Sheet'!E46/'Input Sheet'!E30</f>
        <v>#N/A</v>
      </c>
      <c r="I16" s="38" t="s">
        <v>176</v>
      </c>
    </row>
    <row r="17" spans="2:9" ht="6" customHeight="1">
      <c r="B17" s="36"/>
      <c r="C17" s="37"/>
      <c r="D17" s="37"/>
      <c r="E17" s="37"/>
      <c r="F17" s="37"/>
      <c r="G17" s="37"/>
      <c r="H17" s="41"/>
      <c r="I17" s="38"/>
    </row>
    <row r="18" spans="2:9" ht="12.75">
      <c r="B18" s="36" t="str">
        <f>IF('Input Sheet'!E47&lt;&gt;"Warehouse","To achieve the maximum deduction, the fixture must use less than:  ","")</f>
        <v>To achieve the maximum deduction, the fixture must use less than:  </v>
      </c>
      <c r="C18" s="37"/>
      <c r="D18" s="37"/>
      <c r="E18" s="37"/>
      <c r="F18" s="37"/>
      <c r="G18" s="37"/>
      <c r="H18" s="90" t="e">
        <f>IF('Input Sheet'!E47&lt;&gt;"Warehouse",0.4*H11*'Input Sheet'!E46/'Input Sheet'!E30,"")</f>
        <v>#N/A</v>
      </c>
      <c r="I18" s="38" t="str">
        <f>IF('Input Sheet'!E47&lt;&gt;"Warehouse","watts","")</f>
        <v>watts</v>
      </c>
    </row>
    <row r="19" spans="2:9" ht="6" customHeight="1">
      <c r="B19" s="36"/>
      <c r="C19" s="37"/>
      <c r="D19" s="37"/>
      <c r="E19" s="37"/>
      <c r="F19" s="37"/>
      <c r="G19" s="41"/>
      <c r="H19" s="41"/>
      <c r="I19" s="38"/>
    </row>
    <row r="20" spans="2:9" ht="12.75">
      <c r="B20" s="36" t="s">
        <v>128</v>
      </c>
      <c r="C20" s="37"/>
      <c r="D20" s="37"/>
      <c r="E20" s="37"/>
      <c r="F20" s="37"/>
      <c r="G20" s="41"/>
      <c r="H20" s="41"/>
      <c r="I20" s="38"/>
    </row>
    <row r="21" spans="2:9" ht="12.75">
      <c r="B21" s="36" t="s">
        <v>129</v>
      </c>
      <c r="C21" s="37"/>
      <c r="D21" s="37"/>
      <c r="E21" s="37"/>
      <c r="F21" s="37"/>
      <c r="G21" s="41"/>
      <c r="H21" s="41" t="e">
        <f>VLOOKUP('Input Sheet'!E48,IESNA_Footcandles,2,FALSE)</f>
        <v>#N/A</v>
      </c>
      <c r="I21" s="38" t="s">
        <v>179</v>
      </c>
    </row>
    <row r="22" spans="2:9" ht="12.75">
      <c r="B22" s="36"/>
      <c r="C22" s="37"/>
      <c r="D22" s="37"/>
      <c r="E22" s="37"/>
      <c r="F22" s="37"/>
      <c r="G22" s="41"/>
      <c r="H22" s="41"/>
      <c r="I22" s="38"/>
    </row>
    <row r="23" spans="2:9" ht="12.75">
      <c r="B23" s="36" t="s">
        <v>177</v>
      </c>
      <c r="C23" s="37"/>
      <c r="D23" s="37"/>
      <c r="E23" s="37"/>
      <c r="F23" s="37"/>
      <c r="G23" s="37"/>
      <c r="H23" s="41" t="e">
        <f>VLOOKUP('Input Sheet'!E24,LSI_Prod_Specs,4,FALSE)</f>
        <v>#N/A</v>
      </c>
      <c r="I23" s="38" t="s">
        <v>176</v>
      </c>
    </row>
    <row r="24" spans="2:9" ht="12.75">
      <c r="B24" s="36" t="s">
        <v>127</v>
      </c>
      <c r="C24" s="37"/>
      <c r="D24" s="37"/>
      <c r="E24" s="37"/>
      <c r="F24" s="37"/>
      <c r="G24" s="37"/>
      <c r="H24" s="90" t="e">
        <f>VLOOKUP('Input Sheet'!E24,LSI_Prod_Specs,6,FALSE)*VLOOKUP('Input Sheet'!E24,LSI_Prod_Specs,7,FALSE)*MAX(VLOOKUP('Input Sheet'!E24,LSI_Prod_Specs,2,FALSE),VLOOKUP('Input Sheet'!E24,LSI_Prod_Specs,3,FALSE))*'Input Sheet'!E30/'Input Sheet'!E46</f>
        <v>#N/A</v>
      </c>
      <c r="I24" s="38" t="s">
        <v>179</v>
      </c>
    </row>
    <row r="25" spans="2:9" ht="12.75">
      <c r="B25" s="36"/>
      <c r="C25" s="37"/>
      <c r="D25" s="37"/>
      <c r="E25" s="37"/>
      <c r="F25" s="37"/>
      <c r="G25" s="37"/>
      <c r="H25" s="37"/>
      <c r="I25" s="38"/>
    </row>
    <row r="26" spans="2:9" ht="12.75">
      <c r="B26" s="45" t="e">
        <f>IF(H23&gt;H16,IF(H24&lt;H21,"The deduction is disqualified due to both wattage and light level","The deduction is disqualified due to wattage."),IF(H24&lt;H21,"The deduction is disqualified due to light level",""))</f>
        <v>#N/A</v>
      </c>
      <c r="C26" s="37"/>
      <c r="D26" s="37"/>
      <c r="E26" s="37"/>
      <c r="F26" s="37"/>
      <c r="G26" s="37"/>
      <c r="H26" s="37"/>
      <c r="I26" s="38"/>
    </row>
    <row r="27" spans="2:9" ht="12.75">
      <c r="B27" s="47" t="s">
        <v>178</v>
      </c>
      <c r="C27" s="39"/>
      <c r="D27" s="39"/>
      <c r="E27" s="39"/>
      <c r="F27" s="39"/>
      <c r="G27" s="39"/>
      <c r="H27" s="46" t="e">
        <f>IF(AND(H23&lt;H16,H24&gt;H21),'Input Sheet'!E46*(IF('Input Sheet'!E47="Warehouse",0.6,-2*((H23/'Input Sheet'!E46)/H12)+0.18)),0)</f>
        <v>#N/A</v>
      </c>
      <c r="I27" s="40"/>
    </row>
    <row r="29" ht="12.75">
      <c r="C29" s="44"/>
    </row>
    <row r="30" spans="2:5" ht="15.75">
      <c r="B30" s="6" t="s">
        <v>54</v>
      </c>
      <c r="E30" s="56" t="e">
        <f>'Input Sheet'!E35&amp;"   "&amp;VLOOKUP('Input Sheet'!E35,LSI_Prod_Specs,8,FALSE)</f>
        <v>#N/A</v>
      </c>
    </row>
    <row r="31" spans="2:9" ht="12.75">
      <c r="B31" s="42" t="str">
        <f>"Based on the facility's square footage and number of fixtures,"</f>
        <v>Based on the facility's square footage and number of fixtures,</v>
      </c>
      <c r="C31" s="34"/>
      <c r="D31" s="34"/>
      <c r="E31" s="34"/>
      <c r="F31" s="34"/>
      <c r="G31" s="34"/>
      <c r="H31" s="34"/>
      <c r="I31" s="35"/>
    </row>
    <row r="32" spans="2:9" ht="12.75">
      <c r="B32" s="43" t="str">
        <f>"to qualify for a deduction the fixture wattage must be less than:  "</f>
        <v>to qualify for a deduction the fixture wattage must be less than:  </v>
      </c>
      <c r="C32" s="37"/>
      <c r="D32" s="37"/>
      <c r="E32" s="37"/>
      <c r="F32" s="37"/>
      <c r="G32" s="37"/>
      <c r="H32" s="90" t="str">
        <f>IF(ISNA(E30),"#NA",H12*'Input Sheet'!E46/'Input Sheet'!E41)</f>
        <v>#NA</v>
      </c>
      <c r="I32" s="38" t="s">
        <v>176</v>
      </c>
    </row>
    <row r="33" spans="2:9" ht="6" customHeight="1">
      <c r="B33" s="36"/>
      <c r="C33" s="37"/>
      <c r="D33" s="37"/>
      <c r="E33" s="37"/>
      <c r="F33" s="37"/>
      <c r="G33" s="37"/>
      <c r="H33" s="41"/>
      <c r="I33" s="38"/>
    </row>
    <row r="34" spans="2:9" ht="12.75">
      <c r="B34" s="36" t="str">
        <f>IF('Input Sheet'!E47&lt;&gt;"Warehouse","To achieve the maximum deduction, the fixture must use less than:  ","")</f>
        <v>To achieve the maximum deduction, the fixture must use less than:  </v>
      </c>
      <c r="C34" s="37"/>
      <c r="D34" s="37"/>
      <c r="E34" s="37"/>
      <c r="F34" s="37"/>
      <c r="G34" s="37"/>
      <c r="H34" s="90" t="e">
        <f>IF('Input Sheet'!E47&lt;&gt;"Warehouse",0.4*H11*'Input Sheet'!E46/'Input Sheet'!E41,"")</f>
        <v>#N/A</v>
      </c>
      <c r="I34" s="38" t="str">
        <f>IF('Input Sheet'!E47&lt;&gt;"Warehouse","watts","")</f>
        <v>watts</v>
      </c>
    </row>
    <row r="35" spans="2:9" ht="6" customHeight="1">
      <c r="B35" s="36"/>
      <c r="C35" s="37"/>
      <c r="D35" s="37"/>
      <c r="E35" s="37"/>
      <c r="F35" s="37"/>
      <c r="G35" s="41"/>
      <c r="H35" s="41"/>
      <c r="I35" s="38"/>
    </row>
    <row r="36" spans="2:9" ht="12.75">
      <c r="B36" s="36" t="s">
        <v>128</v>
      </c>
      <c r="C36" s="37"/>
      <c r="D36" s="37"/>
      <c r="E36" s="37"/>
      <c r="F36" s="37"/>
      <c r="G36" s="41"/>
      <c r="H36" s="41"/>
      <c r="I36" s="38"/>
    </row>
    <row r="37" spans="2:9" ht="12.75">
      <c r="B37" s="36" t="s">
        <v>129</v>
      </c>
      <c r="C37" s="37"/>
      <c r="D37" s="37"/>
      <c r="E37" s="37"/>
      <c r="F37" s="37"/>
      <c r="G37" s="41"/>
      <c r="H37" s="41" t="e">
        <f>VLOOKUP('Input Sheet'!E48,IESNA_Footcandles,2,FALSE)</f>
        <v>#N/A</v>
      </c>
      <c r="I37" s="38" t="s">
        <v>179</v>
      </c>
    </row>
    <row r="38" spans="2:9" ht="12.75">
      <c r="B38" s="36"/>
      <c r="C38" s="37"/>
      <c r="D38" s="37"/>
      <c r="E38" s="37"/>
      <c r="F38" s="37"/>
      <c r="G38" s="41"/>
      <c r="H38" s="41"/>
      <c r="I38" s="38"/>
    </row>
    <row r="39" spans="2:9" ht="12.75">
      <c r="B39" s="36" t="s">
        <v>177</v>
      </c>
      <c r="C39" s="37"/>
      <c r="D39" s="37"/>
      <c r="E39" s="37"/>
      <c r="F39" s="37"/>
      <c r="G39" s="37"/>
      <c r="H39" s="41" t="e">
        <f>VLOOKUP('Input Sheet'!E35,LSI_Prod_Specs,4,FALSE)</f>
        <v>#N/A</v>
      </c>
      <c r="I39" s="38" t="s">
        <v>176</v>
      </c>
    </row>
    <row r="40" spans="2:9" ht="12.75">
      <c r="B40" s="36" t="s">
        <v>127</v>
      </c>
      <c r="C40" s="37"/>
      <c r="D40" s="37"/>
      <c r="E40" s="37"/>
      <c r="F40" s="37"/>
      <c r="G40" s="37"/>
      <c r="H40" s="90" t="e">
        <f>VLOOKUP('Input Sheet'!E35,LSI_Prod_Specs,6,FALSE)*VLOOKUP('Input Sheet'!E35,LSI_Prod_Specs,7,FALSE)*MAX(VLOOKUP('Input Sheet'!E35,LSI_Prod_Specs,2,FALSE),VLOOKUP('Input Sheet'!E35,LSI_Prod_Specs,3,FALSE))*'Input Sheet'!E41/'Input Sheet'!E46</f>
        <v>#N/A</v>
      </c>
      <c r="I40" s="38" t="s">
        <v>179</v>
      </c>
    </row>
    <row r="41" spans="2:9" ht="12.75">
      <c r="B41" s="36"/>
      <c r="C41" s="37"/>
      <c r="D41" s="37"/>
      <c r="E41" s="37"/>
      <c r="F41" s="37"/>
      <c r="G41" s="37"/>
      <c r="H41" s="37"/>
      <c r="I41" s="38"/>
    </row>
    <row r="42" spans="2:9" ht="12.75">
      <c r="B42" s="45">
        <f>IF(ISNA(E30),"",IF(H39&gt;H32,IF(H40&lt;H37,"The deduction is disqualified due to both wattage and light level","The deduction is disqualified due to wattage."),IF(H40&lt;H37,"The deduction is disqualified due to light level","")))</f>
      </c>
      <c r="C42" s="37"/>
      <c r="D42" s="37"/>
      <c r="E42" s="37"/>
      <c r="F42" s="37"/>
      <c r="G42" s="37"/>
      <c r="H42" s="37"/>
      <c r="I42" s="38"/>
    </row>
    <row r="43" spans="2:9" ht="12.75">
      <c r="B43" s="47" t="s">
        <v>39</v>
      </c>
      <c r="C43" s="39"/>
      <c r="D43" s="39"/>
      <c r="E43" s="39"/>
      <c r="F43" s="39"/>
      <c r="G43" s="39"/>
      <c r="H43" s="46" t="e">
        <f>IF(AND(H39&lt;H32,H40&gt;H37),'Input Sheet'!E46*(IF('Input Sheet'!E47="Warehouse",0.6,-2*((H29/'Input Sheet'!E46)/H12)+0.18)),0)</f>
        <v>#N/A</v>
      </c>
      <c r="I43" s="40"/>
    </row>
    <row r="44" spans="2:9" ht="12.75">
      <c r="B44" s="32"/>
      <c r="C44" s="37"/>
      <c r="D44" s="37"/>
      <c r="E44" s="37"/>
      <c r="F44" s="37"/>
      <c r="G44" s="37"/>
      <c r="H44" s="50"/>
      <c r="I44" s="37"/>
    </row>
    <row r="46" spans="2:9" ht="12.75">
      <c r="B46" s="49" t="s">
        <v>29</v>
      </c>
      <c r="C46" s="12"/>
      <c r="D46" s="12"/>
      <c r="E46" s="12"/>
      <c r="F46" s="12"/>
      <c r="G46" s="12"/>
      <c r="H46" s="12"/>
      <c r="I46" s="12"/>
    </row>
    <row r="47" spans="2:9" ht="12.75">
      <c r="B47" s="49" t="s">
        <v>30</v>
      </c>
      <c r="C47" s="12"/>
      <c r="D47" s="12"/>
      <c r="E47" s="12"/>
      <c r="F47" s="12"/>
      <c r="G47" s="12"/>
      <c r="H47" s="12"/>
      <c r="I47" s="12"/>
    </row>
    <row r="48" spans="2:9" ht="12.75">
      <c r="B48" s="49" t="s">
        <v>31</v>
      </c>
      <c r="C48" s="12"/>
      <c r="D48" s="12"/>
      <c r="E48" s="12"/>
      <c r="F48" s="12"/>
      <c r="G48" s="12"/>
      <c r="H48" s="12"/>
      <c r="I48" s="12"/>
    </row>
    <row r="49" spans="2:9" ht="12.75">
      <c r="B49" s="49" t="s">
        <v>32</v>
      </c>
      <c r="C49" s="12"/>
      <c r="D49" s="12"/>
      <c r="E49" s="12"/>
      <c r="F49" s="12"/>
      <c r="G49" s="12"/>
      <c r="H49" s="12"/>
      <c r="I49" s="12"/>
    </row>
    <row r="50" spans="2:9" ht="12.75">
      <c r="B50" s="49" t="s">
        <v>47</v>
      </c>
      <c r="C50" s="12"/>
      <c r="D50" s="12"/>
      <c r="E50" s="12"/>
      <c r="F50" s="12"/>
      <c r="G50" s="12"/>
      <c r="H50" s="12"/>
      <c r="I50" s="12"/>
    </row>
    <row r="51" spans="2:9" ht="12.75">
      <c r="B51" s="49"/>
      <c r="C51" s="12"/>
      <c r="D51" s="12"/>
      <c r="E51" s="12"/>
      <c r="F51" s="12"/>
      <c r="G51" s="12"/>
      <c r="H51" s="12"/>
      <c r="I51" s="12"/>
    </row>
    <row r="52" spans="2:9" ht="12.75">
      <c r="B52" s="12" t="s">
        <v>21</v>
      </c>
      <c r="C52" s="12"/>
      <c r="D52" s="12"/>
      <c r="E52" s="12"/>
      <c r="F52" s="12"/>
      <c r="G52" s="12"/>
      <c r="H52" s="12"/>
      <c r="I52" s="12"/>
    </row>
    <row r="53" spans="2:9" ht="12.75">
      <c r="B53" s="12" t="s">
        <v>22</v>
      </c>
      <c r="C53" s="12"/>
      <c r="D53" s="12"/>
      <c r="E53" s="12"/>
      <c r="F53" s="12"/>
      <c r="G53" s="12"/>
      <c r="H53" s="12"/>
      <c r="I53" s="12"/>
    </row>
    <row r="54" spans="2:9" ht="12.75">
      <c r="B54" s="12" t="s">
        <v>46</v>
      </c>
      <c r="C54" s="12"/>
      <c r="D54" s="12"/>
      <c r="E54" s="12"/>
      <c r="F54" s="12"/>
      <c r="G54" s="12"/>
      <c r="H54" s="12"/>
      <c r="I54" s="12"/>
    </row>
  </sheetData>
  <sheetProtection password="D817" sheet="1" objects="1" scenarios="1" selectLockedCells="1"/>
  <conditionalFormatting sqref="H24:I24 H21:I21">
    <cfRule type="expression" priority="1" dxfId="0" stopIfTrue="1">
      <formula>$H$24&lt;$H$21</formula>
    </cfRule>
  </conditionalFormatting>
  <conditionalFormatting sqref="H23:I23 H16:I16">
    <cfRule type="expression" priority="2" dxfId="0" stopIfTrue="1">
      <formula>$H$23&gt;$H$16</formula>
    </cfRule>
  </conditionalFormatting>
  <conditionalFormatting sqref="H32:I32 H39:I39">
    <cfRule type="expression" priority="3" dxfId="0" stopIfTrue="1">
      <formula>$H$39&gt;$H$32</formula>
    </cfRule>
  </conditionalFormatting>
  <conditionalFormatting sqref="H37:I37 H40:I40">
    <cfRule type="expression" priority="4" dxfId="0" stopIfTrue="1">
      <formula>$H$40&lt;$H$37</formula>
    </cfRule>
  </conditionalFormatting>
  <printOptions/>
  <pageMargins left="0.75" right="0.75" top="0.25" bottom="0.73" header="0.24" footer="0.47"/>
  <pageSetup fitToHeight="1" fitToWidth="1" orientation="portrait" scale="97"/>
  <headerFooter alignWithMargins="0">
    <oddHeader>&amp;L&amp;G</oddHeader>
    <oddFooter>&amp;CPage 4 of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Brunker</dc:creator>
  <cp:keywords/>
  <dc:description/>
  <cp:lastModifiedBy>Steve Brunker</cp:lastModifiedBy>
  <cp:lastPrinted>2012-01-18T15:13:14Z</cp:lastPrinted>
  <dcterms:created xsi:type="dcterms:W3CDTF">2006-11-10T21:16:05Z</dcterms:created>
  <dcterms:modified xsi:type="dcterms:W3CDTF">2012-01-18T21:21:11Z</dcterms:modified>
  <cp:category/>
  <cp:version/>
  <cp:contentType/>
  <cp:contentStatus/>
</cp:coreProperties>
</file>